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drawings/drawing3.xml" ContentType="application/vnd.openxmlformats-officedocument.drawing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wardsd\Desktop\"/>
    </mc:Choice>
  </mc:AlternateContent>
  <bookViews>
    <workbookView xWindow="0" yWindow="0" windowWidth="19200" windowHeight="6069" activeTab="3"/>
  </bookViews>
  <sheets>
    <sheet name="Nitrogen Dioxide" sheetId="1" r:id="rId1"/>
    <sheet name="PM 10 mean" sheetId="3" r:id="rId2"/>
    <sheet name="PM 2.5 mean Old " sheetId="2" r:id="rId3"/>
    <sheet name="PM 2.5 mean new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4" l="1"/>
  <c r="N4" i="4"/>
  <c r="N2" i="4"/>
  <c r="N8" i="4"/>
  <c r="C5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N15" i="4"/>
  <c r="N14" i="4"/>
  <c r="L11" i="4"/>
  <c r="K11" i="4"/>
  <c r="J11" i="4"/>
  <c r="I11" i="4"/>
  <c r="H11" i="4"/>
  <c r="G11" i="4"/>
  <c r="F11" i="4"/>
  <c r="E11" i="4"/>
  <c r="D11" i="4"/>
  <c r="C11" i="4"/>
  <c r="B11" i="4"/>
  <c r="N10" i="4"/>
  <c r="N9" i="4"/>
  <c r="N11" i="4" s="1"/>
  <c r="K5" i="4"/>
  <c r="G5" i="4"/>
  <c r="E5" i="4"/>
  <c r="D5" i="4"/>
  <c r="N5" i="4" l="1"/>
  <c r="N17" i="4"/>
  <c r="N8" i="3"/>
  <c r="N14" i="3"/>
  <c r="N2" i="2"/>
  <c r="N8" i="2"/>
  <c r="N2" i="3"/>
  <c r="N29" i="1" l="1"/>
  <c r="M17" i="3"/>
  <c r="N15" i="3"/>
  <c r="M5" i="2"/>
  <c r="O26" i="1"/>
  <c r="N3" i="1"/>
  <c r="N3" i="2"/>
  <c r="Q9" i="1"/>
  <c r="M23" i="1" l="1"/>
  <c r="N21" i="1"/>
  <c r="N15" i="1"/>
  <c r="M17" i="1"/>
  <c r="N9" i="1"/>
  <c r="M11" i="1"/>
  <c r="M5" i="1"/>
  <c r="N9" i="2" l="1"/>
  <c r="L11" i="2"/>
  <c r="N3" i="3"/>
  <c r="L11" i="1"/>
  <c r="N9" i="3"/>
  <c r="L11" i="3"/>
  <c r="L17" i="1"/>
  <c r="L5" i="2"/>
  <c r="L17" i="3"/>
  <c r="L23" i="1"/>
  <c r="L5" i="1"/>
  <c r="K11" i="2" l="1"/>
  <c r="K5" i="3"/>
  <c r="K11" i="1"/>
  <c r="K11" i="3"/>
  <c r="K17" i="1"/>
  <c r="K23" i="1"/>
  <c r="K17" i="3"/>
  <c r="N4" i="2"/>
  <c r="K5" i="2"/>
  <c r="K5" i="1"/>
  <c r="N5" i="2" l="1"/>
  <c r="J11" i="2"/>
  <c r="J11" i="1" l="1"/>
  <c r="N10" i="2"/>
  <c r="N22" i="1"/>
  <c r="N4" i="1"/>
  <c r="N10" i="1"/>
  <c r="N16" i="1"/>
  <c r="N16" i="3"/>
  <c r="N10" i="3"/>
  <c r="N4" i="3"/>
  <c r="J11" i="3"/>
  <c r="J17" i="1"/>
  <c r="J5" i="2"/>
  <c r="J17" i="3"/>
  <c r="J23" i="1"/>
  <c r="I11" i="3" l="1"/>
  <c r="H11" i="3"/>
  <c r="I17" i="3"/>
  <c r="I11" i="2"/>
  <c r="I5" i="2"/>
  <c r="H5" i="2"/>
  <c r="I23" i="1"/>
  <c r="H23" i="1"/>
  <c r="G23" i="1"/>
  <c r="F23" i="1"/>
  <c r="E23" i="1"/>
  <c r="D23" i="1"/>
  <c r="C23" i="1"/>
  <c r="B23" i="1"/>
  <c r="I17" i="1"/>
  <c r="H17" i="1"/>
  <c r="G17" i="1"/>
  <c r="F17" i="1"/>
  <c r="E17" i="1"/>
  <c r="D17" i="1"/>
  <c r="C17" i="1"/>
  <c r="B17" i="1"/>
  <c r="N17" i="1"/>
  <c r="I11" i="1"/>
  <c r="H11" i="1"/>
  <c r="G11" i="1"/>
  <c r="F11" i="1"/>
  <c r="E11" i="1"/>
  <c r="D11" i="1"/>
  <c r="C11" i="1"/>
  <c r="B11" i="1"/>
  <c r="N11" i="1"/>
  <c r="N5" i="1"/>
  <c r="I5" i="1"/>
  <c r="E5" i="1"/>
  <c r="D5" i="1"/>
  <c r="C5" i="1"/>
  <c r="B5" i="1"/>
  <c r="N23" i="1" l="1"/>
  <c r="H17" i="3"/>
  <c r="G5" i="3"/>
  <c r="H11" i="2"/>
  <c r="G5" i="2"/>
  <c r="G11" i="3" l="1"/>
  <c r="G17" i="3"/>
  <c r="N11" i="3" l="1"/>
  <c r="N17" i="3"/>
  <c r="C17" i="3"/>
  <c r="D17" i="3"/>
  <c r="E17" i="3"/>
  <c r="F17" i="3"/>
  <c r="B17" i="3"/>
  <c r="C11" i="3"/>
  <c r="D11" i="3"/>
  <c r="E11" i="3"/>
  <c r="F11" i="3"/>
  <c r="B11" i="3"/>
  <c r="C5" i="3"/>
  <c r="D5" i="3"/>
  <c r="E5" i="3"/>
  <c r="N5" i="3"/>
  <c r="C11" i="2"/>
  <c r="D11" i="2"/>
  <c r="E11" i="2"/>
  <c r="B11" i="2"/>
  <c r="C5" i="2"/>
  <c r="D5" i="2"/>
  <c r="E5" i="2"/>
  <c r="F5" i="2"/>
  <c r="B5" i="2"/>
  <c r="N11" i="2" l="1"/>
</calcChain>
</file>

<file path=xl/sharedStrings.xml><?xml version="1.0" encoding="utf-8"?>
<sst xmlns="http://schemas.openxmlformats.org/spreadsheetml/2006/main" count="283" uniqueCount="72">
  <si>
    <t>Catford (urban background)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</si>
  <si>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</si>
  <si>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</si>
  <si>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</si>
  <si>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</si>
  <si>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</si>
  <si>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</si>
  <si>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</si>
  <si>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</si>
  <si>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</si>
  <si>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</si>
  <si>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</si>
  <si>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</si>
  <si>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</si>
  <si>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% difference 2020 v 19</t>
  </si>
  <si>
    <t xml:space="preserve"> New Cross (roadside)</t>
  </si>
  <si>
    <t>% difference 2020 v 2019</t>
  </si>
  <si>
    <t>Loampit vale (roadside)</t>
  </si>
  <si>
    <t>Honor Oak Park (urban background)</t>
  </si>
  <si>
    <t>Deptford</t>
  </si>
  <si>
    <t>Dec-19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</si>
  <si>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</si>
  <si>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</si>
  <si>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</si>
  <si>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</si>
  <si>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</si>
  <si>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</si>
  <si>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</si>
  <si>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</si>
  <si>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</si>
  <si>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</si>
  <si>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</si>
  <si>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</si>
  <si>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New Cross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</si>
  <si>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</si>
  <si>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</si>
  <si>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</si>
  <si>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</si>
  <si>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</si>
  <si>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</si>
  <si>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</si>
  <si>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</si>
  <si>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</si>
  <si>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</si>
  <si>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</si>
  <si>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Loampit Vale</t>
  </si>
  <si>
    <t xml:space="preserve">Average </t>
  </si>
  <si>
    <t>Honor Oak Park</t>
  </si>
  <si>
    <r>
      <t xml:space="preserve">&lt;40 </t>
    </r>
    <r>
      <rPr>
        <sz val="11"/>
        <color theme="1"/>
        <rFont val="Calibri"/>
        <family val="2"/>
      </rPr>
      <t>µ</t>
    </r>
    <r>
      <rPr>
        <sz val="7.7"/>
        <color theme="1"/>
        <rFont val="Calibri"/>
        <family val="2"/>
      </rPr>
      <t>g</t>
    </r>
  </si>
  <si>
    <t xml:space="preserve">Honor Oak Park </t>
  </si>
  <si>
    <r>
      <t>AQS Objective &lt;25</t>
    </r>
    <r>
      <rPr>
        <sz val="11"/>
        <color theme="1"/>
        <rFont val="Calibri"/>
        <family val="2"/>
      </rPr>
      <t>µg/m3</t>
    </r>
  </si>
  <si>
    <t>Nov-19</t>
  </si>
  <si>
    <t>% change 2019 v 2020</t>
  </si>
  <si>
    <t xml:space="preserve"> data capture rate &lt;75%</t>
  </si>
  <si>
    <t>AQO</t>
  </si>
  <si>
    <t>Column1</t>
  </si>
  <si>
    <t>Nov-21</t>
  </si>
  <si>
    <t>2021 Revised AQO</t>
  </si>
  <si>
    <t>Current &amp; WHO Interim 1 AQO</t>
  </si>
  <si>
    <t>2019-20</t>
  </si>
  <si>
    <t>2021 (NR)</t>
  </si>
  <si>
    <t xml:space="preserve"> NR</t>
  </si>
  <si>
    <t>Non ratified</t>
  </si>
  <si>
    <t>2021(NR)</t>
  </si>
  <si>
    <t>na</t>
  </si>
  <si>
    <t>Air Quality Objective</t>
  </si>
  <si>
    <t xml:space="preserve">Current air quality objective (AQO) and Interim target 1 Air Quality Standard= 40 micrograms per cubic metre of air (μg m-3)) </t>
  </si>
  <si>
    <t>World Health Organization(WHO) Air Quality Guideline (AQG) levels = 10μg m-3 (revised in September 2021)</t>
  </si>
  <si>
    <t>World Health Organization(WHO) Air Quality Guideline (AQG) levels = 15μg m-3 (revised in September 2021)</t>
  </si>
  <si>
    <t xml:space="preserve">Current air quality objective (AQO) and Interim target 1 Air Quality Standard= 25 micrograms per cubic metre of air (μg m-3)) </t>
  </si>
  <si>
    <t>World Health Organization(WHO) Air Quality Guideline (AQG) levels = 5μg m-3 (revised in September 2021)</t>
  </si>
  <si>
    <t xml:space="preserve">Current air quality objective (AQO) = 40 micrograms per cubic metre of air (μg m-3))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</si>
</sst>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</font>
    <font>
      <sz val="7.7"/>
      <color theme="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scheme val="min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Fill="1"/>
    <xf numFmtId="17" fontId="0" fillId="0" borderId="0" xfId="0" applyNumberFormat="1"/>
    <xf numFmtId="0" fontId="0" fillId="3" borderId="0" xfId="0" applyFill="1"/>
    <xf numFmtId="164" fontId="0" fillId="3" borderId="0" xfId="0" applyNumberFormat="1" applyFill="1"/>
    <xf numFmtId="0" fontId="0" fillId="0" borderId="0" xfId="0" applyFill="1"/>
    <xf numFmtId="0" fontId="0" fillId="5" borderId="1" xfId="0" applyFont="1" applyFill="1" applyBorder="1"/>
    <xf numFmtId="0" fontId="0" fillId="5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5" xfId="0" applyFont="1" applyFill="1" applyBorder="1"/>
    <xf numFmtId="17" fontId="4" fillId="4" borderId="4" xfId="0" applyNumberFormat="1" applyFont="1" applyFill="1" applyBorder="1"/>
    <xf numFmtId="17" fontId="4" fillId="4" borderId="5" xfId="0" applyNumberFormat="1" applyFont="1" applyFill="1" applyBorder="1"/>
    <xf numFmtId="0" fontId="0" fillId="5" borderId="6" xfId="0" applyFont="1" applyFill="1" applyBorder="1"/>
    <xf numFmtId="0" fontId="0" fillId="3" borderId="6" xfId="0" applyFont="1" applyFill="1" applyBorder="1"/>
    <xf numFmtId="0" fontId="0" fillId="5" borderId="7" xfId="0" applyFont="1" applyFill="1" applyBorder="1"/>
    <xf numFmtId="0" fontId="5" fillId="5" borderId="6" xfId="0" applyFont="1" applyFill="1" applyBorder="1"/>
    <xf numFmtId="0" fontId="5" fillId="5" borderId="7" xfId="0" applyFont="1" applyFill="1" applyBorder="1"/>
    <xf numFmtId="0" fontId="5" fillId="6" borderId="8" xfId="0" applyFont="1" applyFill="1" applyBorder="1"/>
    <xf numFmtId="0" fontId="1" fillId="0" borderId="0" xfId="0" applyFont="1" applyFill="1" applyBorder="1" applyAlignment="1">
      <alignment vertical="top" wrapText="1"/>
    </xf>
    <xf numFmtId="0" fontId="5" fillId="7" borderId="6" xfId="0" applyFont="1" applyFill="1" applyBorder="1"/>
    <xf numFmtId="0" fontId="4" fillId="3" borderId="0" xfId="0" applyFont="1" applyFill="1"/>
    <xf numFmtId="0" fontId="5" fillId="3" borderId="8" xfId="0" applyFont="1" applyFill="1" applyBorder="1"/>
    <xf numFmtId="0" fontId="6" fillId="0" borderId="0" xfId="0" applyFont="1"/>
  </cellXfs>
  <cellStyles count="1">
    <cellStyle name="Normal" xfId="0" builtinId="0"/>
  </cellStyles>
  <dxfs count="40"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2" tint="-0.249977111117893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22" formatCode="mmm\-yy"/>
      <fill>
        <patternFill patternType="solid">
          <fgColor theme="4"/>
          <bgColor theme="4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2" tint="-0.249977111117893"/>
        </patternFill>
      </fill>
    </dxf>
    <dxf>
      <fill>
        <patternFill patternType="solid">
          <fgColor indexed="64"/>
          <bgColor theme="2" tint="-0.249977111117893"/>
        </patternFill>
      </fill>
    </dxf>
    <dxf>
      <fill>
        <patternFill patternType="solid">
          <fgColor indexed="64"/>
          <bgColor theme="2" tint="-0.249977111117893"/>
        </patternFill>
      </fill>
    </dxf>
    <dxf>
      <fill>
        <patternFill patternType="solid">
          <fgColor indexed="64"/>
          <bgColor theme="2" tint="-0.249977111117893"/>
        </patternFill>
      </fill>
    </dxf>
    <dxf>
      <numFmt numFmtId="22" formatCode="mmm\-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numFmt numFmtId="22" formatCode="mmm\-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/>
              <a:t>Catford Nitrogen Dioxide</a:t>
            </a:r>
            <a:r>
              <a:rPr lang="en-GB" sz="1100" baseline="0"/>
              <a:t> Concentrations</a:t>
            </a:r>
          </a:p>
          <a:p>
            <a:pPr>
              <a:defRPr/>
            </a:pPr>
            <a:r>
              <a:rPr lang="en-GB" sz="1100" baseline="0"/>
              <a:t>(microgram per cubic metre of air (µg m-3))</a:t>
            </a:r>
          </a:p>
          <a:p>
            <a:pPr>
              <a:defRPr/>
            </a:pPr>
            <a:r>
              <a:rPr lang="en-GB" sz="1100" baseline="0"/>
              <a:t>Janurary to December 2019/2020</a:t>
            </a:r>
          </a:p>
        </c:rich>
      </c:tx>
      <c:layout>
        <c:manualLayout>
          <c:xMode val="edge"/>
          <c:yMode val="edge"/>
          <c:x val="0.25633494737409412"/>
          <c:y val="2.62848000056201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'Nitrogen Dioxide'!$A$2</c:f>
              <c:strCache>
                <c:ptCount val="1"/>
                <c:pt idx="0">
                  <c:v>2021 (NR)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'Nitrogen Dioxide'!$B$2:$M$2</c:f>
              <c:numCache>
                <c:formatCode>General</c:formatCode>
                <c:ptCount val="12"/>
                <c:pt idx="0">
                  <c:v>30.8</c:v>
                </c:pt>
                <c:pt idx="1">
                  <c:v>27.1</c:v>
                </c:pt>
                <c:pt idx="2">
                  <c:v>28.2</c:v>
                </c:pt>
                <c:pt idx="3">
                  <c:v>24</c:v>
                </c:pt>
                <c:pt idx="4">
                  <c:v>23.7</c:v>
                </c:pt>
                <c:pt idx="5">
                  <c:v>19.3</c:v>
                </c:pt>
                <c:pt idx="6">
                  <c:v>21.7</c:v>
                </c:pt>
                <c:pt idx="7">
                  <c:v>18.5</c:v>
                </c:pt>
                <c:pt idx="8">
                  <c:v>29.9</c:v>
                </c:pt>
              </c:numCache>
            </c:numRef>
          </c:val>
          <c:smooth val="1"/>
        </c:ser>
        <c:ser>
          <c:idx val="0"/>
          <c:order val="1"/>
          <c:tx>
            <c:v>2020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'Nitrogen Dioxide'!$B$1:$M$1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'Nitrogen Dioxide'!$B$3:$M$3</c:f>
              <c:numCache>
                <c:formatCode>General</c:formatCode>
                <c:ptCount val="12"/>
                <c:pt idx="0">
                  <c:v>37.799999999999997</c:v>
                </c:pt>
                <c:pt idx="1">
                  <c:v>29.8</c:v>
                </c:pt>
                <c:pt idx="2">
                  <c:v>28.2</c:v>
                </c:pt>
                <c:pt idx="3">
                  <c:v>23.5</c:v>
                </c:pt>
                <c:pt idx="7">
                  <c:v>27.1</c:v>
                </c:pt>
                <c:pt idx="8">
                  <c:v>25.5</c:v>
                </c:pt>
                <c:pt idx="9">
                  <c:v>26.6</c:v>
                </c:pt>
                <c:pt idx="10">
                  <c:v>32.799999999999997</c:v>
                </c:pt>
                <c:pt idx="11">
                  <c:v>32.799999999999997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EFAB-438C-981A-F9F73CBF003D}"/>
            </c:ext>
          </c:extLst>
        </c:ser>
        <c:ser>
          <c:idx val="1"/>
          <c:order val="2"/>
          <c:tx>
            <c:v>2019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'Nitrogen Dioxide'!$B$1:$M$1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'[1]Nitrogen Dioxide'!$B$3:$M$3</c:f>
              <c:numCache>
                <c:formatCode>General</c:formatCode>
                <c:ptCount val="12"/>
                <c:pt idx="0">
                  <c:v>41.2</c:v>
                </c:pt>
                <c:pt idx="1">
                  <c:v>46.7</c:v>
                </c:pt>
                <c:pt idx="2">
                  <c:v>32.799999999999997</c:v>
                </c:pt>
                <c:pt idx="3">
                  <c:v>36.6</c:v>
                </c:pt>
                <c:pt idx="4">
                  <c:v>28.5</c:v>
                </c:pt>
                <c:pt idx="5">
                  <c:v>27.7</c:v>
                </c:pt>
                <c:pt idx="6">
                  <c:v>25.6</c:v>
                </c:pt>
                <c:pt idx="7">
                  <c:v>26.9</c:v>
                </c:pt>
                <c:pt idx="8">
                  <c:v>25.5</c:v>
                </c:pt>
                <c:pt idx="9">
                  <c:v>32.5</c:v>
                </c:pt>
                <c:pt idx="10">
                  <c:v>38.200000000000003</c:v>
                </c:pt>
                <c:pt idx="11">
                  <c:v>37.9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EFAB-438C-981A-F9F73CBF0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2728"/>
        <c:axId val="434893120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2"/>
                <c:order val="3"/>
                <c:tx>
                  <c:v>legal limit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'Nitrogen Dioxide'!$B$1:$M$1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'[1]Nitrogen Dioxide'!$B$5:$F$5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EFAB-438C-981A-F9F73CBF003D}"/>
                  </c:ext>
                </c:extLst>
              </c15:ser>
            </c15:filteredLineSeries>
          </c:ext>
        </c:extLst>
      </c:lineChart>
      <c:scatterChart>
        <c:scatterStyle val="smoothMarker"/>
        <c:varyColors val="0"/>
        <c:ser>
          <c:idx val="4"/>
          <c:order val="4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92728"/>
        <c:axId val="434893120"/>
      </c:scatterChart>
      <c:catAx>
        <c:axId val="4348927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3120"/>
        <c:crosses val="autoZero"/>
        <c:auto val="1"/>
        <c:lblAlgn val="ctr"/>
        <c:lblOffset val="100"/>
        <c:noMultiLvlLbl val="0"/>
      </c:catAx>
      <c:valAx>
        <c:axId val="434893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µg m</a:t>
                </a:r>
                <a:r>
                  <a:rPr lang="en-GB" sz="1400" b="0" i="0" baseline="30000">
                    <a:effectLst/>
                  </a:rPr>
                  <a:t>-3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2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Honor Oak Park Nitrogen Dioxide Concentrations </a:t>
            </a:r>
          </a:p>
          <a:p>
            <a:pPr>
              <a:defRPr/>
            </a:pPr>
            <a:r>
              <a:rPr lang="en-GB" sz="1100" b="0" i="0" baseline="0">
                <a:effectLst/>
              </a:rPr>
              <a:t>(microgram per cubic metre of air (</a:t>
            </a:r>
            <a:r>
              <a:rPr lang="en-GB" sz="1100" b="0" i="0" baseline="0"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µg m</a:t>
            </a:r>
            <a:r>
              <a:rPr lang="en-GB" sz="1100" b="0" i="0" baseline="30000"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-3</a:t>
            </a:r>
            <a:r>
              <a:rPr lang="en-GB" sz="1100" b="0" i="0" baseline="0">
                <a:effectLst/>
                <a:latin typeface="Calibri" panose="020F0502020204030204" pitchFamily="34" charset="0"/>
                <a:cs typeface="Calibri" panose="020F0502020204030204" pitchFamily="34" charset="0"/>
              </a:rPr>
              <a:t>))</a:t>
            </a:r>
            <a:r>
              <a:rPr lang="en-GB" sz="1100" b="0" i="0" baseline="0">
                <a:effectLst/>
              </a:rPr>
              <a:t> </a:t>
            </a:r>
          </a:p>
          <a:p>
            <a:pPr>
              <a:defRPr/>
            </a:pPr>
            <a:r>
              <a:rPr lang="en-GB" sz="1100" b="0" i="0" baseline="0">
                <a:effectLst/>
              </a:rPr>
              <a:t>Janurary to July 2019/2020</a:t>
            </a:r>
            <a:endParaRPr lang="en-GB" sz="1000">
              <a:effectLst/>
            </a:endParaRPr>
          </a:p>
        </c:rich>
      </c:tx>
      <c:layout>
        <c:manualLayout>
          <c:xMode val="edge"/>
          <c:yMode val="edge"/>
          <c:x val="0.10846635622322817"/>
          <c:y val="3.3994224327752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590088609604802E-2"/>
          <c:y val="0.19912116899981028"/>
          <c:w val="0.86662362840029006"/>
          <c:h val="0.58659064641986325"/>
        </c:manualLayout>
      </c:layout>
      <c:lineChart>
        <c:grouping val="standard"/>
        <c:varyColors val="0"/>
        <c:ser>
          <c:idx val="3"/>
          <c:order val="0"/>
          <c:tx>
            <c:strRef>
              <c:f>'Nitrogen Dioxide'!$A$20</c:f>
              <c:strCache>
                <c:ptCount val="1"/>
                <c:pt idx="0">
                  <c:v>2021 (NR)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'Nitrogen Dioxide'!$B$20:$M$20</c:f>
              <c:numCache>
                <c:formatCode>General</c:formatCode>
                <c:ptCount val="12"/>
                <c:pt idx="0">
                  <c:v>19.100000000000001</c:v>
                </c:pt>
                <c:pt idx="3">
                  <c:v>18.399999999999999</c:v>
                </c:pt>
                <c:pt idx="4">
                  <c:v>11.6</c:v>
                </c:pt>
                <c:pt idx="5">
                  <c:v>10.5</c:v>
                </c:pt>
                <c:pt idx="6">
                  <c:v>13.1</c:v>
                </c:pt>
                <c:pt idx="7">
                  <c:v>12.4</c:v>
                </c:pt>
                <c:pt idx="8">
                  <c:v>21.9</c:v>
                </c:pt>
              </c:numCache>
            </c:numRef>
          </c:val>
          <c:smooth val="0"/>
        </c:ser>
        <c:ser>
          <c:idx val="1"/>
          <c:order val="1"/>
          <c:tx>
            <c:v>2020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'Nitrogen Dioxide'!$B$19:$M$19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'Nitrogen Dioxide'!$B$21:$M$21</c:f>
              <c:numCache>
                <c:formatCode>General</c:formatCode>
                <c:ptCount val="12"/>
                <c:pt idx="0">
                  <c:v>28.6</c:v>
                </c:pt>
                <c:pt idx="1">
                  <c:v>19.399999999999999</c:v>
                </c:pt>
                <c:pt idx="2">
                  <c:v>20.100000000000001</c:v>
                </c:pt>
                <c:pt idx="3">
                  <c:v>19.899999999999999</c:v>
                </c:pt>
                <c:pt idx="4">
                  <c:v>12.5</c:v>
                </c:pt>
                <c:pt idx="5">
                  <c:v>13.2</c:v>
                </c:pt>
                <c:pt idx="6">
                  <c:v>11.6</c:v>
                </c:pt>
                <c:pt idx="7">
                  <c:v>14.4</c:v>
                </c:pt>
                <c:pt idx="8">
                  <c:v>20.2</c:v>
                </c:pt>
                <c:pt idx="9">
                  <c:v>18.399999999999999</c:v>
                </c:pt>
                <c:pt idx="10">
                  <c:v>21</c:v>
                </c:pt>
                <c:pt idx="11">
                  <c:v>8.6999999999999993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16-494E-A611-F1DD475B00BE}"/>
            </c:ext>
          </c:extLst>
        </c:ser>
        <c:ser>
          <c:idx val="2"/>
          <c:order val="2"/>
          <c:tx>
            <c:v>2019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'Nitrogen Dioxide'!$B$19:$M$19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'[1]Nitrogen Dioxide'!$B$18:$M$18</c:f>
              <c:numCache>
                <c:formatCode>General</c:formatCode>
                <c:ptCount val="12"/>
                <c:pt idx="0">
                  <c:v>31</c:v>
                </c:pt>
                <c:pt idx="1">
                  <c:v>31.3</c:v>
                </c:pt>
                <c:pt idx="2">
                  <c:v>20.9</c:v>
                </c:pt>
                <c:pt idx="3">
                  <c:v>26.1</c:v>
                </c:pt>
                <c:pt idx="4">
                  <c:v>19.2</c:v>
                </c:pt>
                <c:pt idx="5">
                  <c:v>16.8</c:v>
                </c:pt>
                <c:pt idx="6">
                  <c:v>16.100000000000001</c:v>
                </c:pt>
                <c:pt idx="7">
                  <c:v>17.3</c:v>
                </c:pt>
                <c:pt idx="8">
                  <c:v>20.9</c:v>
                </c:pt>
                <c:pt idx="9">
                  <c:v>26.9</c:v>
                </c:pt>
                <c:pt idx="10">
                  <c:v>35.299999999999997</c:v>
                </c:pt>
                <c:pt idx="1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F16-494E-A611-F1DD475B0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89984"/>
        <c:axId val="43488841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3"/>
                <c:tx>
                  <c:v>Legal Limit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'Nitrogen Dioxide'!$B$19:$M$19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'[1]Nitrogen Dioxide'!$B$5:$F$5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9F16-494E-A611-F1DD475B00BE}"/>
                  </c:ext>
                </c:extLst>
              </c15:ser>
            </c15:filteredLineSeries>
          </c:ext>
        </c:extLst>
      </c:lineChart>
      <c:scatterChart>
        <c:scatterStyle val="smoothMarker"/>
        <c:varyColors val="0"/>
        <c:ser>
          <c:idx val="4"/>
          <c:order val="4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89984"/>
        <c:axId val="434888416"/>
      </c:scatterChart>
      <c:catAx>
        <c:axId val="4348899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88416"/>
        <c:crosses val="autoZero"/>
        <c:auto val="1"/>
        <c:lblAlgn val="ctr"/>
        <c:lblOffset val="100"/>
        <c:noMultiLvlLbl val="0"/>
      </c:catAx>
      <c:valAx>
        <c:axId val="434888416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/>
                  <a:t>µg m</a:t>
                </a:r>
                <a:r>
                  <a:rPr lang="en-GB" sz="1400" baseline="30000"/>
                  <a:t>-3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8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Loampit Vale Nitrogen Dioxide Concentrations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'Nitrogen Dioxide'!$A$14</c:f>
              <c:strCache>
                <c:ptCount val="1"/>
                <c:pt idx="0">
                  <c:v>2021 (NR)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'Nitrogen Dioxide'!$B$14:$M$14</c:f>
              <c:numCache>
                <c:formatCode>General</c:formatCode>
                <c:ptCount val="12"/>
                <c:pt idx="0">
                  <c:v>39.1</c:v>
                </c:pt>
                <c:pt idx="1">
                  <c:v>36.5</c:v>
                </c:pt>
                <c:pt idx="2">
                  <c:v>40.5</c:v>
                </c:pt>
                <c:pt idx="3">
                  <c:v>45</c:v>
                </c:pt>
                <c:pt idx="4">
                  <c:v>28.8</c:v>
                </c:pt>
                <c:pt idx="5">
                  <c:v>30.6</c:v>
                </c:pt>
                <c:pt idx="6">
                  <c:v>30</c:v>
                </c:pt>
                <c:pt idx="7">
                  <c:v>22.9</c:v>
                </c:pt>
                <c:pt idx="8">
                  <c:v>35.1</c:v>
                </c:pt>
              </c:numCache>
            </c:numRef>
          </c:val>
          <c:smooth val="1"/>
        </c:ser>
        <c:ser>
          <c:idx val="1"/>
          <c:order val="2"/>
          <c:tx>
            <c:v>2020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'Nitrogen Dioxide'!$B$13:$M$13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'Nitrogen Dioxide'!$B$15:$M$15</c:f>
              <c:numCache>
                <c:formatCode>General</c:formatCode>
                <c:ptCount val="12"/>
                <c:pt idx="0">
                  <c:v>35.299999999999997</c:v>
                </c:pt>
                <c:pt idx="1">
                  <c:v>31.9</c:v>
                </c:pt>
                <c:pt idx="2">
                  <c:v>37.700000000000003</c:v>
                </c:pt>
                <c:pt idx="3">
                  <c:v>39.4</c:v>
                </c:pt>
                <c:pt idx="4">
                  <c:v>30.3</c:v>
                </c:pt>
                <c:pt idx="5">
                  <c:v>29.6</c:v>
                </c:pt>
                <c:pt idx="6">
                  <c:v>26.5</c:v>
                </c:pt>
                <c:pt idx="7">
                  <c:v>31.1</c:v>
                </c:pt>
                <c:pt idx="8">
                  <c:v>41.2</c:v>
                </c:pt>
                <c:pt idx="9">
                  <c:v>35.9</c:v>
                </c:pt>
                <c:pt idx="10">
                  <c:v>39.700000000000003</c:v>
                </c:pt>
                <c:pt idx="11">
                  <c:v>39.1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BB5-4B16-B17C-5472817FDD93}"/>
            </c:ext>
          </c:extLst>
        </c:ser>
        <c:ser>
          <c:idx val="2"/>
          <c:order val="3"/>
          <c:tx>
            <c:v>2019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'Nitrogen Dioxide'!$B$13:$M$13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'[1]Nitrogen Dioxide'!$B$13:$M$13</c:f>
              <c:numCache>
                <c:formatCode>General</c:formatCode>
                <c:ptCount val="12"/>
                <c:pt idx="0">
                  <c:v>52.9</c:v>
                </c:pt>
                <c:pt idx="1">
                  <c:v>46.8</c:v>
                </c:pt>
                <c:pt idx="2">
                  <c:v>43.3</c:v>
                </c:pt>
                <c:pt idx="3">
                  <c:v>58.8</c:v>
                </c:pt>
                <c:pt idx="4">
                  <c:v>43.2</c:v>
                </c:pt>
                <c:pt idx="5">
                  <c:v>33.200000000000003</c:v>
                </c:pt>
                <c:pt idx="6">
                  <c:v>34.1</c:v>
                </c:pt>
                <c:pt idx="7">
                  <c:v>32.299999999999997</c:v>
                </c:pt>
                <c:pt idx="8">
                  <c:v>37.799999999999997</c:v>
                </c:pt>
                <c:pt idx="9">
                  <c:v>40.799999999999997</c:v>
                </c:pt>
                <c:pt idx="10">
                  <c:v>47.1</c:v>
                </c:pt>
                <c:pt idx="11">
                  <c:v>43.8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5BB5-4B16-B17C-5472817FD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4296"/>
        <c:axId val="4348915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Legal Limit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'Nitrogen Dioxide'!$B$13:$M$13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'[1]Nitrogen Dioxide'!$B$5:$F$5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5BB5-4B16-B17C-5472817FDD93}"/>
                  </c:ext>
                </c:extLst>
              </c15:ser>
            </c15:filteredLineSeries>
          </c:ext>
        </c:extLst>
      </c:lineChart>
      <c:scatterChart>
        <c:scatterStyle val="smoothMarker"/>
        <c:varyColors val="0"/>
        <c:ser>
          <c:idx val="4"/>
          <c:order val="4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94296"/>
        <c:axId val="434891552"/>
      </c:scatterChart>
      <c:catAx>
        <c:axId val="43489429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1552"/>
        <c:crosses val="autoZero"/>
        <c:auto val="1"/>
        <c:lblAlgn val="ctr"/>
        <c:lblOffset val="100"/>
        <c:noMultiLvlLbl val="0"/>
      </c:catAx>
      <c:valAx>
        <c:axId val="434891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µg m</a:t>
                </a:r>
                <a:r>
                  <a:rPr lang="en-GB" sz="1400" b="0" i="0" baseline="30000">
                    <a:effectLst/>
                  </a:rPr>
                  <a:t>-3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4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0" i="0" baseline="0">
                <a:effectLst/>
              </a:rPr>
              <a:t>New Cross Nitrogen Dioxide Concentrations </a:t>
            </a:r>
            <a:endParaRPr lang="en-GB" sz="1000">
              <a:effectLst/>
            </a:endParaRPr>
          </a:p>
        </c:rich>
      </c:tx>
      <c:layout>
        <c:manualLayout>
          <c:xMode val="edge"/>
          <c:yMode val="edge"/>
          <c:x val="0.23972551867926328"/>
          <c:y val="2.73169522647871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32728265218446"/>
          <c:y val="0.13220902778513033"/>
          <c:w val="0.86471907770278866"/>
          <c:h val="0.67745549886594114"/>
        </c:manualLayout>
      </c:layout>
      <c:lineChart>
        <c:grouping val="standard"/>
        <c:varyColors val="0"/>
        <c:ser>
          <c:idx val="3"/>
          <c:order val="1"/>
          <c:tx>
            <c:strRef>
              <c:f>'Nitrogen Dioxide'!$A$8</c:f>
              <c:strCache>
                <c:ptCount val="1"/>
                <c:pt idx="0">
                  <c:v>2021 (NR)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'Nitrogen Dioxide'!$B$8:$M$8</c:f>
              <c:numCache>
                <c:formatCode>General</c:formatCode>
                <c:ptCount val="12"/>
                <c:pt idx="0">
                  <c:v>35.6</c:v>
                </c:pt>
                <c:pt idx="1">
                  <c:v>25.5</c:v>
                </c:pt>
                <c:pt idx="2">
                  <c:v>30.6</c:v>
                </c:pt>
                <c:pt idx="3">
                  <c:v>34.6</c:v>
                </c:pt>
                <c:pt idx="4">
                  <c:v>28.3</c:v>
                </c:pt>
                <c:pt idx="5">
                  <c:v>28.8</c:v>
                </c:pt>
                <c:pt idx="6">
                  <c:v>27.4</c:v>
                </c:pt>
              </c:numCache>
            </c:numRef>
          </c:val>
          <c:smooth val="1"/>
        </c:ser>
        <c:ser>
          <c:idx val="1"/>
          <c:order val="2"/>
          <c:tx>
            <c:v>2020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'Nitrogen Dioxide'!$B$7:$M$7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'Nitrogen Dioxide'!$B$9:$M$9</c:f>
              <c:numCache>
                <c:formatCode>General</c:formatCode>
                <c:ptCount val="12"/>
                <c:pt idx="0">
                  <c:v>34.5</c:v>
                </c:pt>
                <c:pt idx="1">
                  <c:v>28.3</c:v>
                </c:pt>
                <c:pt idx="2">
                  <c:v>31.4</c:v>
                </c:pt>
                <c:pt idx="3">
                  <c:v>27.8</c:v>
                </c:pt>
                <c:pt idx="4">
                  <c:v>22</c:v>
                </c:pt>
                <c:pt idx="5">
                  <c:v>21.4</c:v>
                </c:pt>
                <c:pt idx="6">
                  <c:v>22.2</c:v>
                </c:pt>
                <c:pt idx="7">
                  <c:v>25</c:v>
                </c:pt>
                <c:pt idx="8">
                  <c:v>32.5</c:v>
                </c:pt>
                <c:pt idx="9">
                  <c:v>27.7</c:v>
                </c:pt>
                <c:pt idx="10">
                  <c:v>32.200000000000003</c:v>
                </c:pt>
                <c:pt idx="11">
                  <c:v>28.9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7217-4824-91A3-6589D2940901}"/>
            </c:ext>
          </c:extLst>
        </c:ser>
        <c:ser>
          <c:idx val="2"/>
          <c:order val="3"/>
          <c:tx>
            <c:v>2019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'Nitrogen Dioxide'!$B$7:$M$7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'[1]Nitrogen Dioxide'!$B$8:$M$8</c:f>
              <c:numCache>
                <c:formatCode>General</c:formatCode>
                <c:ptCount val="12"/>
                <c:pt idx="0">
                  <c:v>49</c:v>
                </c:pt>
                <c:pt idx="1">
                  <c:v>45.1</c:v>
                </c:pt>
                <c:pt idx="2">
                  <c:v>38.700000000000003</c:v>
                </c:pt>
                <c:pt idx="3">
                  <c:v>43.1</c:v>
                </c:pt>
                <c:pt idx="4">
                  <c:v>38.9</c:v>
                </c:pt>
                <c:pt idx="5">
                  <c:v>31.3</c:v>
                </c:pt>
                <c:pt idx="6">
                  <c:v>32.5</c:v>
                </c:pt>
                <c:pt idx="7">
                  <c:v>32.799999999999997</c:v>
                </c:pt>
                <c:pt idx="8">
                  <c:v>28.2</c:v>
                </c:pt>
                <c:pt idx="9">
                  <c:v>34.6</c:v>
                </c:pt>
                <c:pt idx="10">
                  <c:v>42</c:v>
                </c:pt>
                <c:pt idx="11">
                  <c:v>36.4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217-4824-91A3-6589D2940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88024"/>
        <c:axId val="43489468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v>Legal Limit</c:v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6"/>
                    </a:solidFill>
                    <a:ln w="9525">
                      <a:solidFill>
                        <a:schemeClr val="accent6"/>
                      </a:solidFill>
                    </a:ln>
                    <a:effectLst/>
                  </c:spPr>
                </c:marker>
                <c:cat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'Nitrogen Dioxide'!$B$7:$M$7</c15:sqref>
                        </c15:formulaRef>
                      </c:ext>
                    </c:extLst>
                    <c:strCache>
                      <c:ptCount val="12"/>
                      <c:pt idx="0">
                        <c:v>Jan</c:v>
                      </c:pt>
                      <c:pt idx="1">
                        <c:v>Feb</c:v>
                      </c:pt>
                      <c:pt idx="2">
                        <c:v>Mar</c:v>
                      </c:pt>
                      <c:pt idx="3">
                        <c:v>Apr</c:v>
                      </c:pt>
                      <c:pt idx="4">
                        <c:v>May</c:v>
                      </c:pt>
                      <c:pt idx="5">
                        <c:v>Jun</c:v>
                      </c:pt>
                      <c:pt idx="6">
                        <c:v>Jul</c:v>
                      </c:pt>
                      <c:pt idx="7">
                        <c:v>Aug</c:v>
                      </c:pt>
                      <c:pt idx="8">
                        <c:v>Sep</c:v>
                      </c:pt>
                      <c:pt idx="9">
                        <c:v>Oct</c:v>
                      </c:pt>
                      <c:pt idx="10">
                        <c:v>Nov</c:v>
                      </c:pt>
                      <c:pt idx="11">
                        <c:v>Dec</c:v>
                      </c:pt>
                    </c:strCache>
                  </c:strRef>
                </c:cat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'[1]Nitrogen Dioxide'!$B$5:$F$5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2-7217-4824-91A3-6589D2940901}"/>
                  </c:ext>
                </c:extLst>
              </c15:ser>
            </c15:filteredLineSeries>
          </c:ext>
        </c:extLst>
      </c:lineChart>
      <c:scatterChart>
        <c:scatterStyle val="smoothMarker"/>
        <c:varyColors val="0"/>
        <c:ser>
          <c:idx val="4"/>
          <c:order val="4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y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88024"/>
        <c:axId val="434894688"/>
      </c:scatterChart>
      <c:catAx>
        <c:axId val="43488802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4688"/>
        <c:crosses val="autoZero"/>
        <c:auto val="1"/>
        <c:lblAlgn val="ctr"/>
        <c:lblOffset val="100"/>
        <c:noMultiLvlLbl val="0"/>
      </c:catAx>
      <c:valAx>
        <c:axId val="43489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µg m</a:t>
                </a:r>
                <a:r>
                  <a:rPr lang="en-GB" sz="1400" b="0" i="0" baseline="30000">
                    <a:effectLst/>
                  </a:rPr>
                  <a:t>-3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88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Deptford</a:t>
            </a:r>
            <a:r>
              <a:rPr lang="en-GB" baseline="0"/>
              <a:t> Nitrogen Dioxide Concentrations </a:t>
            </a:r>
            <a:endParaRPr lang="en-GB"/>
          </a:p>
        </c:rich>
      </c:tx>
      <c:layout>
        <c:manualLayout>
          <c:xMode val="edge"/>
          <c:yMode val="edge"/>
          <c:x val="0.15684011373578302"/>
          <c:y val="2.3450589976220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'Nitrogen Dioxide'!#REF!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'Nitrogen Dioxide'!#REF!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891160"/>
        <c:axId val="434887240"/>
      </c:lineChart>
      <c:scatterChart>
        <c:scatterStyle val="smoothMarker"/>
        <c:varyColors val="0"/>
        <c:ser>
          <c:idx val="0"/>
          <c:order val="0"/>
          <c:tx>
            <c:strRef>
              <c:f>'Nitrogen Dioxide'!$A$26</c:f>
              <c:strCache>
                <c:ptCount val="1"/>
                <c:pt idx="0">
                  <c:v>2019-20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'Nitrogen Dioxide'!$B$25:$N$25</c:f>
              <c:strCache>
                <c:ptCount val="13"/>
                <c:pt idx="0">
                  <c:v>Dec-19</c:v>
                </c:pt>
                <c:pt idx="1">
                  <c:v>Jan-20</c:v>
                </c:pt>
                <c:pt idx="2">
                  <c:v>Feb-20</c:v>
                </c:pt>
                <c:pt idx="3">
                  <c:v>Mar-20</c:v>
                </c:pt>
                <c:pt idx="4">
                  <c:v>Apr-20</c:v>
                </c:pt>
                <c:pt idx="5">
                  <c:v>May-20</c:v>
                </c:pt>
                <c:pt idx="6">
                  <c:v>Jun-20</c:v>
                </c:pt>
                <c:pt idx="7">
                  <c:v>Jul-20</c:v>
                </c:pt>
                <c:pt idx="8">
                  <c:v>Aug-20</c:v>
                </c:pt>
                <c:pt idx="9">
                  <c:v>Sep-20</c:v>
                </c:pt>
                <c:pt idx="10">
                  <c:v>Oct-20</c:v>
                </c:pt>
                <c:pt idx="11">
                  <c:v>Nov-20</c:v>
                </c:pt>
                <c:pt idx="12">
                  <c:v>Dec-20</c:v>
                </c:pt>
              </c:strCache>
            </c:strRef>
          </c:xVal>
          <c:yVal>
            <c:numRef>
              <c:f>'Nitrogen Dioxide'!$B$26:$N$26</c:f>
              <c:numCache>
                <c:formatCode>General</c:formatCode>
                <c:ptCount val="13"/>
                <c:pt idx="0">
                  <c:v>28.2</c:v>
                </c:pt>
                <c:pt idx="1">
                  <c:v>25.8</c:v>
                </c:pt>
                <c:pt idx="2">
                  <c:v>19.8</c:v>
                </c:pt>
                <c:pt idx="3">
                  <c:v>16.899999999999999</c:v>
                </c:pt>
                <c:pt idx="4">
                  <c:v>17.399999999999999</c:v>
                </c:pt>
                <c:pt idx="5">
                  <c:v>10.3</c:v>
                </c:pt>
                <c:pt idx="6">
                  <c:v>12.3</c:v>
                </c:pt>
                <c:pt idx="7">
                  <c:v>11.2</c:v>
                </c:pt>
                <c:pt idx="8">
                  <c:v>14.4</c:v>
                </c:pt>
                <c:pt idx="9">
                  <c:v>19.600000000000001</c:v>
                </c:pt>
                <c:pt idx="10">
                  <c:v>18.399999999999999</c:v>
                </c:pt>
                <c:pt idx="11">
                  <c:v>27.6</c:v>
                </c:pt>
                <c:pt idx="12">
                  <c:v>25.3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DA7-4F5D-9804-759ADF7A5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915328"/>
        <c:axId val="434892336"/>
      </c:scatterChart>
      <c:catAx>
        <c:axId val="43489116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87240"/>
        <c:crosses val="autoZero"/>
        <c:auto val="1"/>
        <c:lblAlgn val="ctr"/>
        <c:lblOffset val="100"/>
        <c:noMultiLvlLbl val="0"/>
      </c:catAx>
      <c:valAx>
        <c:axId val="43488724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µg m</a:t>
                </a:r>
                <a:r>
                  <a:rPr lang="en-GB" sz="1400" b="0" i="0" baseline="30000">
                    <a:effectLst/>
                  </a:rPr>
                  <a:t>-3</a:t>
                </a:r>
                <a:endParaRPr lang="en-GB" sz="14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1160"/>
        <c:crosses val="autoZero"/>
        <c:crossBetween val="between"/>
      </c:valAx>
      <c:valAx>
        <c:axId val="434892336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15328"/>
        <c:crosses val="max"/>
        <c:crossBetween val="midCat"/>
      </c:valAx>
      <c:valAx>
        <c:axId val="442915328"/>
        <c:scaling>
          <c:orientation val="minMax"/>
        </c:scaling>
        <c:delete val="0"/>
        <c:axPos val="t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4892336"/>
        <c:crosses val="max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Honor Oak PM10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'PM 10 mean'!$A$14</c:f>
              <c:strCache>
                <c:ptCount val="1"/>
                <c:pt idx="0">
                  <c:v>2021 (NR)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'PM 10 mean'!$B$13:$M$13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10 mean'!$B$14:$M$14</c:f>
              <c:numCache>
                <c:formatCode>General</c:formatCode>
                <c:ptCount val="12"/>
                <c:pt idx="0">
                  <c:v>11.8</c:v>
                </c:pt>
                <c:pt idx="2">
                  <c:v>19.899999999999999</c:v>
                </c:pt>
                <c:pt idx="3">
                  <c:v>18.100000000000001</c:v>
                </c:pt>
                <c:pt idx="4">
                  <c:v>10.9</c:v>
                </c:pt>
                <c:pt idx="5">
                  <c:v>13</c:v>
                </c:pt>
                <c:pt idx="6">
                  <c:v>14.8</c:v>
                </c:pt>
                <c:pt idx="7">
                  <c:v>10.1</c:v>
                </c:pt>
                <c:pt idx="8">
                  <c:v>17.3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527-491F-93E8-00FD3F351E63}"/>
            </c:ext>
          </c:extLst>
        </c:ser>
        <c:ser>
          <c:idx val="1"/>
          <c:order val="1"/>
          <c:tx>
            <c:strRef>
              <c:f>'PM 10 mean'!$A$15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'PM 10 mean'!$B$13:$M$13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10 mean'!$B$15:$M$15</c:f>
              <c:numCache>
                <c:formatCode>General</c:formatCode>
                <c:ptCount val="12"/>
                <c:pt idx="0">
                  <c:v>14.1</c:v>
                </c:pt>
                <c:pt idx="1">
                  <c:v>11.2</c:v>
                </c:pt>
                <c:pt idx="2">
                  <c:v>13.8</c:v>
                </c:pt>
                <c:pt idx="3">
                  <c:v>21.9</c:v>
                </c:pt>
                <c:pt idx="4">
                  <c:v>13.1</c:v>
                </c:pt>
                <c:pt idx="5">
                  <c:v>11.7</c:v>
                </c:pt>
                <c:pt idx="6">
                  <c:v>8.4</c:v>
                </c:pt>
                <c:pt idx="7">
                  <c:v>16.2</c:v>
                </c:pt>
                <c:pt idx="8">
                  <c:v>14.3</c:v>
                </c:pt>
                <c:pt idx="9">
                  <c:v>9.4</c:v>
                </c:pt>
                <c:pt idx="10">
                  <c:v>20.2</c:v>
                </c:pt>
                <c:pt idx="11">
                  <c:v>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527-491F-93E8-00FD3F351E63}"/>
            </c:ext>
          </c:extLst>
        </c:ser>
        <c:ser>
          <c:idx val="2"/>
          <c:order val="2"/>
          <c:tx>
            <c:strRef>
              <c:f>'PM 10 mean'!$A$16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'PM 10 mean'!$B$13:$M$13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10 mean'!$B$16:$M$16</c:f>
              <c:numCache>
                <c:formatCode>General</c:formatCode>
                <c:ptCount val="12"/>
                <c:pt idx="0">
                  <c:v>16.399999999999999</c:v>
                </c:pt>
                <c:pt idx="1">
                  <c:v>21.2</c:v>
                </c:pt>
                <c:pt idx="2">
                  <c:v>14.7</c:v>
                </c:pt>
                <c:pt idx="3">
                  <c:v>29.6</c:v>
                </c:pt>
                <c:pt idx="4">
                  <c:v>12.6</c:v>
                </c:pt>
                <c:pt idx="5">
                  <c:v>11</c:v>
                </c:pt>
                <c:pt idx="6">
                  <c:v>10.8</c:v>
                </c:pt>
                <c:pt idx="7">
                  <c:v>12.7</c:v>
                </c:pt>
                <c:pt idx="8">
                  <c:v>10.1</c:v>
                </c:pt>
                <c:pt idx="9">
                  <c:v>11.8</c:v>
                </c:pt>
                <c:pt idx="10">
                  <c:v>13.6</c:v>
                </c:pt>
                <c:pt idx="11">
                  <c:v>12.8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'PM 10 mean'!#REF!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yVal>
            <c:numRef>
              <c:f>'PM 10 mean'!#REF!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'PM 10 mean'!#REF!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yVal>
            <c:numRef>
              <c:f>'PM 10 mean'!#REF!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913760"/>
        <c:axId val="442910232"/>
      </c:scatterChart>
      <c:valAx>
        <c:axId val="44291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10232"/>
        <c:crosses val="autoZero"/>
        <c:crossBetween val="midCat"/>
      </c:valAx>
      <c:valAx>
        <c:axId val="44291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0" i="0" baseline="0">
                    <a:effectLst/>
                  </a:rPr>
                  <a:t>µg m</a:t>
                </a:r>
                <a:r>
                  <a:rPr lang="en-GB" sz="1000" b="0" i="0" baseline="30000">
                    <a:effectLst/>
                  </a:rPr>
                  <a:t>-3</a:t>
                </a:r>
                <a:endParaRPr lang="en-GB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137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Honor Oak PM2.5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'PM 2.5 mean new'!$A$14</c:f>
              <c:strCache>
                <c:ptCount val="1"/>
                <c:pt idx="0">
                  <c:v>2021(NR)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'PM 2.5 mean new'!$B$13:$M$13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2.5 mean new'!$B$14:$M$14</c:f>
              <c:numCache>
                <c:formatCode>General</c:formatCode>
                <c:ptCount val="12"/>
                <c:pt idx="0">
                  <c:v>9</c:v>
                </c:pt>
                <c:pt idx="2">
                  <c:v>13.7</c:v>
                </c:pt>
                <c:pt idx="3">
                  <c:v>10.7</c:v>
                </c:pt>
                <c:pt idx="4">
                  <c:v>6.9</c:v>
                </c:pt>
                <c:pt idx="5">
                  <c:v>7.9</c:v>
                </c:pt>
                <c:pt idx="6">
                  <c:v>9.1</c:v>
                </c:pt>
                <c:pt idx="7">
                  <c:v>5.7</c:v>
                </c:pt>
                <c:pt idx="8">
                  <c:v>11.5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527-491F-93E8-00FD3F351E63}"/>
            </c:ext>
          </c:extLst>
        </c:ser>
        <c:ser>
          <c:idx val="1"/>
          <c:order val="1"/>
          <c:tx>
            <c:strRef>
              <c:f>'PM 2.5 mean new'!$A$15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'PM 2.5 mean new'!$B$13:$M$13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2.5 mean new'!$B$15:$M$15</c:f>
              <c:numCache>
                <c:formatCode>General</c:formatCode>
                <c:ptCount val="12"/>
                <c:pt idx="0">
                  <c:v>9.9</c:v>
                </c:pt>
                <c:pt idx="1">
                  <c:v>6.6</c:v>
                </c:pt>
                <c:pt idx="2">
                  <c:v>8.8000000000000007</c:v>
                </c:pt>
                <c:pt idx="3">
                  <c:v>14.6</c:v>
                </c:pt>
                <c:pt idx="4">
                  <c:v>7.6</c:v>
                </c:pt>
                <c:pt idx="5">
                  <c:v>6.9</c:v>
                </c:pt>
                <c:pt idx="6">
                  <c:v>4.3</c:v>
                </c:pt>
                <c:pt idx="7">
                  <c:v>10</c:v>
                </c:pt>
                <c:pt idx="8">
                  <c:v>7.7</c:v>
                </c:pt>
                <c:pt idx="9">
                  <c:v>5.4</c:v>
                </c:pt>
                <c:pt idx="10">
                  <c:v>14.8</c:v>
                </c:pt>
                <c:pt idx="11">
                  <c:v>8.3000000000000007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D527-491F-93E8-00FD3F351E63}"/>
            </c:ext>
          </c:extLst>
        </c:ser>
        <c:ser>
          <c:idx val="2"/>
          <c:order val="2"/>
          <c:tx>
            <c:strRef>
              <c:f>'PM 2.5 mean new'!$A$16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strRef>
              <c:f>'PM 2.5 mean new'!$B$13:$M$13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xVal>
          <c:yVal>
            <c:numRef>
              <c:f>'PM 2.5 mean new'!$B$16:$M$16</c:f>
              <c:numCache>
                <c:formatCode>General</c:formatCode>
                <c:ptCount val="12"/>
                <c:pt idx="0">
                  <c:v>11.9</c:v>
                </c:pt>
                <c:pt idx="1">
                  <c:v>15.7</c:v>
                </c:pt>
                <c:pt idx="2">
                  <c:v>10</c:v>
                </c:pt>
                <c:pt idx="3">
                  <c:v>22.2</c:v>
                </c:pt>
                <c:pt idx="4">
                  <c:v>8.3000000000000007</c:v>
                </c:pt>
                <c:pt idx="5">
                  <c:v>6.8</c:v>
                </c:pt>
                <c:pt idx="6">
                  <c:v>5.8</c:v>
                </c:pt>
                <c:pt idx="7">
                  <c:v>7.8</c:v>
                </c:pt>
                <c:pt idx="8">
                  <c:v>5.3</c:v>
                </c:pt>
                <c:pt idx="9">
                  <c:v>7.3</c:v>
                </c:pt>
                <c:pt idx="10">
                  <c:v>9.8000000000000007</c:v>
                </c:pt>
                <c:pt idx="11">
                  <c:v>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'PM 2.5 mean new'!#REF!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yVal>
            <c:numRef>
              <c:f>'PM 2.5 mean new'!#REF!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'PM 2.5 mean new'!#REF!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yVal>
            <c:numRef>
              <c:f>'PM 2.5 mean new'!#REF!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914936"/>
        <c:axId val="442909448"/>
      </c:scatterChart>
      <c:valAx>
        <c:axId val="442914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09448"/>
        <c:crosses val="autoZero"/>
        <c:crossBetween val="midCat"/>
      </c:valAx>
      <c:valAx>
        <c:axId val="44290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0" i="0" baseline="0">
                    <a:effectLst/>
                  </a:rPr>
                  <a:t>µg m</a:t>
                </a:r>
                <a:r>
                  <a:rPr lang="en-GB" sz="1400" b="0" i="0" baseline="30000">
                    <a:effectLst/>
                  </a:rPr>
                  <a:t>-3</a:t>
                </a:r>
                <a:endParaRPr lang="en-GB" sz="14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914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625929</xdr:colOff>
      <xdr:row>32</xdr:row>
      <xdr:rowOff>123473</xdr:rowOff>
    </xdr:from>
    <xdr:to>
      <xdr:col>12</xdr:col>
      <xdr:colOff>220486</xdr:colOff>
      <xdr:row>51</xdr:row>
      <xdr:rowOff>15137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42809</xdr:colOff>
      <xdr:row>32</xdr:row>
      <xdr:rowOff>121293</xdr:rowOff>
    </xdr:from>
    <xdr:to>
      <xdr:col>5</xdr:col>
      <xdr:colOff>485167</xdr:colOff>
      <xdr:row>51</xdr:row>
      <xdr:rowOff>27351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145969</xdr:rowOff>
    </xdr:from>
    <xdr:to>
      <xdr:col>4</xdr:col>
      <xdr:colOff>505938</xdr:colOff>
      <xdr:row>69</xdr:row>
      <xdr:rowOff>135593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404503</xdr:colOff>
      <xdr:row>53</xdr:row>
      <xdr:rowOff>103909</xdr:rowOff>
    </xdr:from>
    <xdr:to>
      <xdr:col>12</xdr:col>
      <xdr:colOff>394254</xdr:colOff>
      <xdr:row>70</xdr:row>
      <xdr:rowOff>76695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176892</xdr:colOff>
      <xdr:row>33</xdr:row>
      <xdr:rowOff>108857</xdr:rowOff>
    </xdr:from>
    <xdr:to>
      <xdr:col>22</xdr:col>
      <xdr:colOff>122464</xdr:colOff>
      <xdr:row>51</xdr:row>
      <xdr:rowOff>95249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36852</xdr:colOff>
      <xdr:row>16</xdr:row>
      <xdr:rowOff>126130</xdr:rowOff>
    </xdr:from>
    <xdr:to>
      <xdr:col>12</xdr:col>
      <xdr:colOff>158750</xdr:colOff>
      <xdr:row>32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308049</xdr:colOff>
      <xdr:row>17</xdr:row>
      <xdr:rowOff>73212</xdr:rowOff>
    </xdr:from>
    <xdr:to>
      <xdr:col>13</xdr:col>
      <xdr:colOff>641615</xdr:colOff>
      <xdr:row>31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ff01vca000\Home\rwilliams1\My%20Documents\Sophie\Lewisham%20Air%20Quality%20NO2%20Stats%20Augus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trogen Dioxide"/>
    </sheetNames>
    <sheetDataSet>
      <sheetData sheetId="0">
        <row r="3">
          <cell r="B3">
            <v>41.2</v>
          </cell>
          <cell r="C3">
            <v>46.7</v>
          </cell>
          <cell r="D3">
            <v>32.799999999999997</v>
          </cell>
          <cell r="E3">
            <v>36.6</v>
          </cell>
          <cell r="F3">
            <v>28.5</v>
          </cell>
          <cell r="G3">
            <v>27.7</v>
          </cell>
          <cell r="H3">
            <v>25.6</v>
          </cell>
          <cell r="I3">
            <v>26.9</v>
          </cell>
          <cell r="J3">
            <v>25.5</v>
          </cell>
          <cell r="K3">
            <v>32.5</v>
          </cell>
          <cell r="L3">
            <v>38.200000000000003</v>
          </cell>
          <cell r="M3">
            <v>37.9</v>
          </cell>
        </row>
        <row r="8">
          <cell r="B8">
            <v>49</v>
          </cell>
          <cell r="C8">
            <v>45.1</v>
          </cell>
          <cell r="D8">
            <v>38.700000000000003</v>
          </cell>
          <cell r="E8">
            <v>43.1</v>
          </cell>
          <cell r="F8">
            <v>38.9</v>
          </cell>
          <cell r="G8">
            <v>31.3</v>
          </cell>
          <cell r="H8">
            <v>32.5</v>
          </cell>
          <cell r="I8">
            <v>32.799999999999997</v>
          </cell>
          <cell r="J8">
            <v>28.2</v>
          </cell>
          <cell r="K8">
            <v>34.6</v>
          </cell>
          <cell r="L8">
            <v>42</v>
          </cell>
          <cell r="M8">
            <v>36.4</v>
          </cell>
        </row>
        <row r="13">
          <cell r="B13">
            <v>52.9</v>
          </cell>
          <cell r="C13">
            <v>46.8</v>
          </cell>
          <cell r="D13">
            <v>43.3</v>
          </cell>
          <cell r="E13">
            <v>58.8</v>
          </cell>
          <cell r="F13">
            <v>43.2</v>
          </cell>
          <cell r="G13">
            <v>33.200000000000003</v>
          </cell>
          <cell r="H13">
            <v>34.1</v>
          </cell>
          <cell r="I13">
            <v>32.299999999999997</v>
          </cell>
          <cell r="J13">
            <v>37.799999999999997</v>
          </cell>
          <cell r="K13">
            <v>40.799999999999997</v>
          </cell>
          <cell r="L13">
            <v>47.1</v>
          </cell>
          <cell r="M13">
            <v>43.8</v>
          </cell>
        </row>
        <row r="18">
          <cell r="B18">
            <v>31</v>
          </cell>
          <cell r="C18">
            <v>31.3</v>
          </cell>
          <cell r="D18">
            <v>20.9</v>
          </cell>
          <cell r="E18">
            <v>26.1</v>
          </cell>
          <cell r="F18">
            <v>19.2</v>
          </cell>
          <cell r="G18">
            <v>16.8</v>
          </cell>
          <cell r="H18">
            <v>16.100000000000001</v>
          </cell>
          <cell r="I18">
            <v>17.3</v>
          </cell>
          <cell r="J18">
            <v>20.9</v>
          </cell>
          <cell r="K18">
            <v>26.9</v>
          </cell>
          <cell r="L18">
            <v>35.299999999999997</v>
          </cell>
          <cell r="M18">
            <v>30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e42" displayName="Table42" ref="A1:N5" totalsRowShown="0">
  <autoFilter ref="A1:N5"/>
  <tableColumns count="14">
    <tableColumn id="1" name="Catford (urban background)"/>
    <tableColumn id="2" name="Jan"/>
    <tableColumn id="3" name="Feb"/>
    <tableColumn id="4" name="Mar"/>
    <tableColumn id="5" name="Apr"/>
    <tableColumn id="6" name="May"/>
    <tableColumn id="8" name="Jun"/>
    <tableColumn id="9" name="Jul"/>
    <tableColumn id="10" name="Aug"/>
    <tableColumn id="11" name="Sep"/>
    <tableColumn id="12" name="Oct"/>
    <tableColumn id="13" name="Nov"/>
    <tableColumn id="14" name="Dec"/>
    <tableColumn id="7" name="Average" dataDxfId="39">
      <calculatedColumnFormula>AVERAGE(Table42[[#This Row],[Jan]:[May]])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2" name="Table2" displayName="Table2" ref="A1:O5" totalsRowShown="0">
  <autoFilter ref="A1:O5"/>
  <tableColumns count="15">
    <tableColumn id="1" name="Honor Oak Park 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" dataDxfId="31">
      <calculatedColumnFormula>AVERAGE(Table2[[#This Row],[January]:[May]])</calculatedColumnFormula>
    </tableColumn>
    <tableColumn id="15" name="AQO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3" name="Table3" displayName="Table3" ref="A7:O11" totalsRowShown="0">
  <autoFilter ref="A7:O11"/>
  <tableColumns count="15">
    <tableColumn id="1" name="New Cross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" dataDxfId="30">
      <calculatedColumnFormula>AVERAGE(Table3[[#This Row],[January]:[May]])</calculatedColumnFormula>
    </tableColumn>
    <tableColumn id="15" name="Column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1" name="Table11" displayName="Table11" ref="A15:O16" totalsRowShown="0" headerRowDxfId="29">
  <autoFilter ref="A15:O16"/>
  <tableColumns count="15">
    <tableColumn id="1" name="Deptford"/>
    <tableColumn id="2" name="Nov-19"/>
    <tableColumn id="3" name="Dec-19"/>
    <tableColumn id="4" name="Jan-20"/>
    <tableColumn id="5" name="Feb-20"/>
    <tableColumn id="6" name="Mar-20"/>
    <tableColumn id="7" name="Apr-20"/>
    <tableColumn id="8" name="May-20" dataDxfId="28"/>
    <tableColumn id="9" name="Jun-20" dataDxfId="27"/>
    <tableColumn id="10" name="Jul-20" dataDxfId="26"/>
    <tableColumn id="11" name="Aug-20" dataDxfId="25"/>
    <tableColumn id="12" name="Sep-20" dataDxfId="24"/>
    <tableColumn id="13" name="Oct-20" dataDxfId="23"/>
    <tableColumn id="14" name="Nov-20" dataDxfId="22"/>
    <tableColumn id="15" name="Nov-21" dataDxfId="2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6" name="Table6" displayName="Table6" ref="A18:M20" totalsRowShown="0" headerRowDxfId="20" dataDxfId="18" headerRowBorderDxfId="19" tableBorderDxfId="17" totalsRowBorderDxfId="16">
  <autoFilter ref="A18:M20"/>
  <tableColumns count="13">
    <tableColumn id="1" name="Deptford" dataDxfId="15"/>
    <tableColumn id="2" name="Jan" dataDxfId="14"/>
    <tableColumn id="3" name="Feb" dataDxfId="13"/>
    <tableColumn id="4" name="Mar" dataDxfId="12"/>
    <tableColumn id="5" name="Apr" dataDxfId="11"/>
    <tableColumn id="6" name="May" dataDxfId="10"/>
    <tableColumn id="7" name="Jun" dataDxfId="9"/>
    <tableColumn id="8" name="Jul" dataDxfId="8"/>
    <tableColumn id="9" name="Aug" dataDxfId="7"/>
    <tableColumn id="10" name="Sep" dataDxfId="6"/>
    <tableColumn id="11" name="Oct" dataDxfId="5"/>
    <tableColumn id="12" name="Nov" dataDxfId="4"/>
    <tableColumn id="13" name="December" dataDxfId="3"/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7" name="Table58" displayName="Table58" ref="A1:O5" totalsRowShown="0">
  <autoFilter ref="A1:O5"/>
  <tableColumns count="15">
    <tableColumn id="1" name="Column1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" dataDxfId="2"/>
    <tableColumn id="15" name="AQO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8" name="Table99" displayName="Table99" ref="A7:O11" totalsRowShown="0">
  <autoFilter ref="A7:O11"/>
  <tableColumns count="15">
    <tableColumn id="1" name="New Cross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 " dataDxfId="1">
      <calculatedColumnFormula>AVERAGE(Table99[[#This Row],[January]:[May]])</calculatedColumnFormula>
    </tableColumn>
    <tableColumn id="15" name="Column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2" name="Table1013" displayName="Table1013" ref="A13:O17" totalsRowShown="0">
  <autoFilter ref="A13:O17"/>
  <tableColumns count="15">
    <tableColumn id="1" name="Honor Oak Park 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 " dataDxfId="0">
      <calculatedColumnFormula>AVERAGE(Table1013[[#This Row],[January]:[May]])</calculatedColumnFormula>
    </tableColumn>
    <tableColumn id="15" name="Column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3" name="Table614" displayName="Table614" ref="A7:N11" totalsRowShown="0">
  <autoFilter ref="A7:N11"/>
  <tableColumns count="14">
    <tableColumn id="1" name=" New Cross (roadside)"/>
    <tableColumn id="2" name="Jan"/>
    <tableColumn id="3" name="Feb"/>
    <tableColumn id="4" name="Mar"/>
    <tableColumn id="5" name="Apr"/>
    <tableColumn id="7" name="May"/>
    <tableColumn id="8" name="Jun"/>
    <tableColumn id="9" name="Jul"/>
    <tableColumn id="10" name="Aug"/>
    <tableColumn id="11" name="Sep"/>
    <tableColumn id="12" name="Oct"/>
    <tableColumn id="13" name="Nov"/>
    <tableColumn id="14" name="Dec"/>
    <tableColumn id="6" name="Averag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4" name="Table715" displayName="Table715" ref="A13:N17" totalsRowShown="0">
  <autoFilter ref="A13:N17"/>
  <tableColumns count="14">
    <tableColumn id="1" name="Loampit vale (roadside)"/>
    <tableColumn id="2" name="Jan"/>
    <tableColumn id="3" name="Feb"/>
    <tableColumn id="4" name="Mar"/>
    <tableColumn id="5" name="Apr"/>
    <tableColumn id="6" name="May"/>
    <tableColumn id="8" name="Jun"/>
    <tableColumn id="9" name="Jul"/>
    <tableColumn id="10" name="Aug"/>
    <tableColumn id="11" name="Sep"/>
    <tableColumn id="12" name="Oct"/>
    <tableColumn id="13" name="Nov"/>
    <tableColumn id="14" name="Dec"/>
    <tableColumn id="7" name="Averag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5" name="Table816" displayName="Table816" ref="A19:N23" totalsRowShown="0">
  <autoFilter ref="A19:N23"/>
  <tableColumns count="14">
    <tableColumn id="1" name="Honor Oak Park (urban background)"/>
    <tableColumn id="2" name="Jan"/>
    <tableColumn id="3" name="Feb"/>
    <tableColumn id="4" name="Mar"/>
    <tableColumn id="5" name="Apr"/>
    <tableColumn id="6" name="May"/>
    <tableColumn id="8" name="Jun"/>
    <tableColumn id="9" name="Jul"/>
    <tableColumn id="10" name="Aug"/>
    <tableColumn id="11" name="Sep"/>
    <tableColumn id="12" name="Oct"/>
    <tableColumn id="13" name="Nov"/>
    <tableColumn id="14" name="Dec"/>
    <tableColumn id="7" name="Averag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6" name="Table1217" displayName="Table1217" ref="A25:O26" totalsRowShown="0" headerRowDxfId="38">
  <autoFilter ref="A25:O26"/>
  <tableColumns count="15">
    <tableColumn id="1" name="Deptford"/>
    <tableColumn id="3" name="Dec-19"/>
    <tableColumn id="4" name="Jan-20"/>
    <tableColumn id="5" name="Feb-20"/>
    <tableColumn id="6" name="Mar-20"/>
    <tableColumn id="7" name="Apr-20"/>
    <tableColumn id="8" name="May-20"/>
    <tableColumn id="9" name="Jun-20"/>
    <tableColumn id="10" name="Jul-20"/>
    <tableColumn id="2" name="Aug-20"/>
    <tableColumn id="12" name="Sep-20"/>
    <tableColumn id="13" name="Oct-20"/>
    <tableColumn id="14" name="Nov-20"/>
    <tableColumn id="15" name="Dec-20"/>
    <tableColumn id="11" name="Average">
      <calculatedColumnFormula>AVERAGE(Table1217[[Dec-19]:[Dec-20]])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le4" displayName="Table4" ref="A28:N30" totalsRowShown="0" headerRowDxfId="37" headerRowBorderDxfId="36" tableBorderDxfId="35">
  <autoFilter ref="A28:N30"/>
  <tableColumns count="14">
    <tableColumn id="1" name="Deptford"/>
    <tableColumn id="2" name="Jan"/>
    <tableColumn id="3" name="Feb"/>
    <tableColumn id="4" name="Mar"/>
    <tableColumn id="5" name="Apr"/>
    <tableColumn id="6" name="May"/>
    <tableColumn id="7" name="Jun"/>
    <tableColumn id="8" name="Jul"/>
    <tableColumn id="9" name="Aug"/>
    <tableColumn id="10" name="Sep"/>
    <tableColumn id="11" name="Oct"/>
    <tableColumn id="12" name="Nov"/>
    <tableColumn id="13" name="Dec"/>
    <tableColumn id="14" name="Average"/>
  </tableColumns>
  <tableStyleInfo name="TableStyleLight6" showFirstColumn="0" showLastColumn="0" showRowStripes="1" showColumnStripes="0"/>
</table>
</file>

<file path=xl/tables/table7.xml><?xml version="1.0" encoding="utf-8"?>
<table xmlns="http://schemas.openxmlformats.org/spreadsheetml/2006/main" id="5" name="Table5" displayName="Table5" ref="A1:O5" totalsRowShown="0">
  <autoFilter ref="A1:O5"/>
  <tableColumns count="15">
    <tableColumn id="1" name="New Cross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" dataDxfId="34">
      <calculatedColumnFormula>AVERAGE(Table5[[#This Row],[January]:[May]])</calculatedColumnFormula>
    </tableColumn>
    <tableColumn id="15" name="AQO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e9" displayName="Table9" ref="A7:O11" totalsRowShown="0">
  <autoFilter ref="A7:O11"/>
  <tableColumns count="15">
    <tableColumn id="1" name="Loampit Vale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 " dataDxfId="33">
      <calculatedColumnFormula>AVERAGE(Table9[[#This Row],[January]:[May]])</calculatedColumnFormula>
    </tableColumn>
    <tableColumn id="15" name="Column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10" displayName="Table10" ref="A13:O17" totalsRowShown="0">
  <autoFilter ref="A13:O17"/>
  <tableColumns count="15">
    <tableColumn id="1" name="Honor Oak Park"/>
    <tableColumn id="2" name="January"/>
    <tableColumn id="3" name="February"/>
    <tableColumn id="4" name="March"/>
    <tableColumn id="5" name="April"/>
    <tableColumn id="6" name="May"/>
    <tableColumn id="7" name="June"/>
    <tableColumn id="8" name="July"/>
    <tableColumn id="9" name="August"/>
    <tableColumn id="10" name="September"/>
    <tableColumn id="11" name="October"/>
    <tableColumn id="12" name="November"/>
    <tableColumn id="13" name="December"/>
    <tableColumn id="14" name="Average " dataDxfId="32">
      <calculatedColumnFormula>AVERAGE(Table10[[#This Row],[January]:[May]])</calculatedColumnFormula>
    </tableColumn>
    <tableColumn id="15" name="Column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A50" zoomScale="89" zoomScaleNormal="89" workbookViewId="0">
      <selection activeCell="A89" sqref="A89"/>
    </sheetView>
  </sheetViews>
  <sheetFormatPr defaultRowHeight="14.6" x14ac:dyDescent="0.4"/>
  <cols>
    <col min="1" max="1" width="40.4609375" customWidth="1"/>
    <col min="2" max="2" width="10" customWidth="1"/>
    <col min="3" max="4" width="10.15234375" customWidth="1"/>
    <col min="5" max="5" width="10.4609375" customWidth="1"/>
    <col min="6" max="6" width="18.23046875" customWidth="1"/>
    <col min="7" max="7" width="19.23046875" customWidth="1"/>
    <col min="8" max="8" width="10.53515625" customWidth="1"/>
    <col min="14" max="14" width="12.84375" customWidth="1"/>
  </cols>
  <sheetData>
    <row r="1" spans="1:18" x14ac:dyDescent="0.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</row>
    <row r="2" spans="1:18" x14ac:dyDescent="0.4">
      <c r="A2" t="s">
        <v>60</v>
      </c>
      <c r="B2">
        <v>30.8</v>
      </c>
      <c r="C2">
        <v>27.1</v>
      </c>
      <c r="D2">
        <v>28.2</v>
      </c>
      <c r="E2">
        <v>24</v>
      </c>
      <c r="F2">
        <v>23.7</v>
      </c>
      <c r="G2">
        <v>19.3</v>
      </c>
      <c r="H2">
        <v>21.7</v>
      </c>
      <c r="I2">
        <v>18.5</v>
      </c>
      <c r="J2">
        <v>29.9</v>
      </c>
      <c r="N2" s="2"/>
      <c r="Q2" t="s">
        <v>61</v>
      </c>
      <c r="R2" t="s">
        <v>62</v>
      </c>
    </row>
    <row r="3" spans="1:18" x14ac:dyDescent="0.4">
      <c r="A3">
        <v>2020</v>
      </c>
      <c r="B3">
        <v>37.799999999999997</v>
      </c>
      <c r="C3">
        <v>29.8</v>
      </c>
      <c r="D3">
        <v>28.2</v>
      </c>
      <c r="E3">
        <v>23.5</v>
      </c>
      <c r="F3" s="5"/>
      <c r="G3" s="5"/>
      <c r="H3" s="5"/>
      <c r="I3" s="7">
        <v>27.1</v>
      </c>
      <c r="J3" s="7">
        <v>25.5</v>
      </c>
      <c r="K3" s="7">
        <v>26.6</v>
      </c>
      <c r="L3" s="7">
        <v>32.799999999999997</v>
      </c>
      <c r="M3" s="7">
        <v>32.799999999999997</v>
      </c>
      <c r="N3">
        <f>AVERAGE(B3:E3,I3,J3,K3,L3,M3)</f>
        <v>29.344444444444449</v>
      </c>
    </row>
    <row r="4" spans="1:18" x14ac:dyDescent="0.4">
      <c r="A4">
        <v>2019</v>
      </c>
      <c r="B4">
        <v>41.2</v>
      </c>
      <c r="C4">
        <v>46.7</v>
      </c>
      <c r="D4">
        <v>32.799999999999997</v>
      </c>
      <c r="E4">
        <v>36.6</v>
      </c>
      <c r="F4">
        <v>28.5</v>
      </c>
      <c r="G4">
        <v>27.7</v>
      </c>
      <c r="H4">
        <v>25.6</v>
      </c>
      <c r="I4">
        <v>26.9</v>
      </c>
      <c r="J4">
        <v>25.5</v>
      </c>
      <c r="K4">
        <v>32.5</v>
      </c>
      <c r="L4">
        <v>38.200000000000003</v>
      </c>
      <c r="M4">
        <v>37.9</v>
      </c>
      <c r="N4">
        <f>AVERAGE(Table42[[#This Row],[Jan]:[Dec]])</f>
        <v>33.341666666666661</v>
      </c>
    </row>
    <row r="5" spans="1:18" x14ac:dyDescent="0.4">
      <c r="A5" t="s">
        <v>14</v>
      </c>
      <c r="B5" s="1">
        <f>(B3-B4)/B4*100</f>
        <v>-8.2524271844660326</v>
      </c>
      <c r="C5" s="1">
        <f t="shared" ref="C5:E5" si="0">(C3-C4)/C4*100</f>
        <v>-36.188436830835116</v>
      </c>
      <c r="D5" s="1">
        <f t="shared" si="0"/>
        <v>-14.024390243902435</v>
      </c>
      <c r="E5" s="1">
        <f t="shared" si="0"/>
        <v>-35.79234972677596</v>
      </c>
      <c r="F5" s="1"/>
      <c r="G5" s="1"/>
      <c r="H5" s="1"/>
      <c r="I5" s="1">
        <f>(I3-I4)/I4*100</f>
        <v>0.74349442379183217</v>
      </c>
      <c r="J5" s="1">
        <v>0</v>
      </c>
      <c r="K5" s="1">
        <f>(K3-K4)/K4*100</f>
        <v>-18.15384615384615</v>
      </c>
      <c r="L5" s="1">
        <f>(L3-L4)/L4*100</f>
        <v>-14.136125654450277</v>
      </c>
      <c r="M5" s="1">
        <f>(M3-M4)/M4*100</f>
        <v>-13.456464379947233</v>
      </c>
      <c r="N5" s="1">
        <f>(N3-N4)/N4*100</f>
        <v>-11.988669499291818</v>
      </c>
    </row>
    <row r="6" spans="1:18" x14ac:dyDescent="0.4">
      <c r="J6" s="2"/>
    </row>
    <row r="7" spans="1:18" x14ac:dyDescent="0.4">
      <c r="A7" t="s">
        <v>15</v>
      </c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  <c r="I7" t="s">
        <v>8</v>
      </c>
      <c r="J7" t="s">
        <v>9</v>
      </c>
      <c r="K7" t="s">
        <v>10</v>
      </c>
      <c r="L7" t="s">
        <v>11</v>
      </c>
      <c r="M7" t="s">
        <v>12</v>
      </c>
      <c r="N7" t="s">
        <v>13</v>
      </c>
    </row>
    <row r="8" spans="1:18" x14ac:dyDescent="0.4">
      <c r="A8" t="s">
        <v>60</v>
      </c>
      <c r="B8">
        <v>35.6</v>
      </c>
      <c r="C8">
        <v>25.5</v>
      </c>
      <c r="D8">
        <v>30.6</v>
      </c>
      <c r="E8">
        <v>34.6</v>
      </c>
      <c r="F8">
        <v>28.3</v>
      </c>
      <c r="G8">
        <v>28.8</v>
      </c>
      <c r="H8">
        <v>27.4</v>
      </c>
      <c r="I8" s="5"/>
      <c r="J8" s="5"/>
    </row>
    <row r="9" spans="1:18" x14ac:dyDescent="0.4">
      <c r="A9">
        <v>2020</v>
      </c>
      <c r="B9">
        <v>34.5</v>
      </c>
      <c r="C9">
        <v>28.3</v>
      </c>
      <c r="D9">
        <v>31.4</v>
      </c>
      <c r="E9">
        <v>27.8</v>
      </c>
      <c r="F9">
        <v>22</v>
      </c>
      <c r="G9">
        <v>21.4</v>
      </c>
      <c r="H9">
        <v>22.2</v>
      </c>
      <c r="I9">
        <v>25</v>
      </c>
      <c r="J9">
        <v>32.5</v>
      </c>
      <c r="K9">
        <v>27.7</v>
      </c>
      <c r="L9">
        <v>32.200000000000003</v>
      </c>
      <c r="M9">
        <v>28.9</v>
      </c>
      <c r="N9">
        <f>AVERAGE(Table614[[#This Row],[Jan]:[Dec]])</f>
        <v>27.824999999999999</v>
      </c>
      <c r="Q9">
        <f>((29.3-50)/50)*100</f>
        <v>-41.4</v>
      </c>
    </row>
    <row r="10" spans="1:18" x14ac:dyDescent="0.4">
      <c r="A10">
        <v>2019</v>
      </c>
      <c r="B10">
        <v>49</v>
      </c>
      <c r="C10">
        <v>45.1</v>
      </c>
      <c r="D10">
        <v>38.700000000000003</v>
      </c>
      <c r="E10">
        <v>43.1</v>
      </c>
      <c r="F10">
        <v>38.9</v>
      </c>
      <c r="G10">
        <v>31.3</v>
      </c>
      <c r="H10">
        <v>32.5</v>
      </c>
      <c r="I10">
        <v>32.799999999999997</v>
      </c>
      <c r="J10">
        <v>28.2</v>
      </c>
      <c r="K10">
        <v>34.6</v>
      </c>
      <c r="L10">
        <v>42</v>
      </c>
      <c r="M10">
        <v>36.4</v>
      </c>
      <c r="N10">
        <f>AVERAGE(Table614[[#This Row],[Jan]:[Dec]])</f>
        <v>37.716666666666669</v>
      </c>
    </row>
    <row r="11" spans="1:18" x14ac:dyDescent="0.4">
      <c r="A11" t="s">
        <v>16</v>
      </c>
      <c r="B11" s="1">
        <f>(B9-B10)/B10*100</f>
        <v>-29.591836734693878</v>
      </c>
      <c r="C11" s="1">
        <f t="shared" ref="C11:N11" si="1">(C9-C10)/C10*100</f>
        <v>-37.250554323725055</v>
      </c>
      <c r="D11" s="1">
        <f t="shared" si="1"/>
        <v>-18.863049095607245</v>
      </c>
      <c r="E11" s="1">
        <f t="shared" si="1"/>
        <v>-35.498839907192576</v>
      </c>
      <c r="F11" s="1">
        <f t="shared" si="1"/>
        <v>-43.444730077120816</v>
      </c>
      <c r="G11" s="1">
        <f t="shared" ref="G11:M11" si="2">(G9-G10)/G10*100</f>
        <v>-31.629392971246013</v>
      </c>
      <c r="H11" s="1">
        <f t="shared" si="2"/>
        <v>-31.692307692307693</v>
      </c>
      <c r="I11" s="1">
        <f t="shared" si="2"/>
        <v>-23.780487804878042</v>
      </c>
      <c r="J11" s="1">
        <f t="shared" si="2"/>
        <v>15.248226950354612</v>
      </c>
      <c r="K11" s="1">
        <f t="shared" si="2"/>
        <v>-19.942196531791915</v>
      </c>
      <c r="L11" s="1">
        <f t="shared" si="2"/>
        <v>-23.333333333333325</v>
      </c>
      <c r="M11" s="1">
        <f t="shared" si="2"/>
        <v>-20.604395604395606</v>
      </c>
      <c r="N11" s="1">
        <f t="shared" si="1"/>
        <v>-26.226248342907649</v>
      </c>
    </row>
    <row r="13" spans="1:18" x14ac:dyDescent="0.4">
      <c r="A13" t="s">
        <v>17</v>
      </c>
      <c r="B13" t="s">
        <v>1</v>
      </c>
      <c r="C13" t="s">
        <v>2</v>
      </c>
      <c r="D13" t="s">
        <v>3</v>
      </c>
      <c r="E13" t="s">
        <v>4</v>
      </c>
      <c r="F13" t="s">
        <v>5</v>
      </c>
      <c r="G13" t="s">
        <v>6</v>
      </c>
      <c r="H13" t="s">
        <v>7</v>
      </c>
      <c r="I13" t="s">
        <v>8</v>
      </c>
      <c r="J13" t="s">
        <v>9</v>
      </c>
      <c r="K13" t="s">
        <v>10</v>
      </c>
      <c r="L13" t="s">
        <v>11</v>
      </c>
      <c r="M13" t="s">
        <v>12</v>
      </c>
      <c r="N13" t="s">
        <v>13</v>
      </c>
    </row>
    <row r="14" spans="1:18" x14ac:dyDescent="0.4">
      <c r="A14" t="s">
        <v>60</v>
      </c>
      <c r="B14">
        <v>39.1</v>
      </c>
      <c r="C14">
        <v>36.5</v>
      </c>
      <c r="D14">
        <v>40.5</v>
      </c>
      <c r="E14">
        <v>45</v>
      </c>
      <c r="F14">
        <v>28.8</v>
      </c>
      <c r="G14">
        <v>30.6</v>
      </c>
      <c r="H14">
        <v>30</v>
      </c>
      <c r="I14">
        <v>22.9</v>
      </c>
      <c r="J14">
        <v>35.1</v>
      </c>
    </row>
    <row r="15" spans="1:18" x14ac:dyDescent="0.4">
      <c r="A15">
        <v>2020</v>
      </c>
      <c r="B15">
        <v>35.299999999999997</v>
      </c>
      <c r="C15">
        <v>31.9</v>
      </c>
      <c r="D15">
        <v>37.700000000000003</v>
      </c>
      <c r="E15">
        <v>39.4</v>
      </c>
      <c r="F15">
        <v>30.3</v>
      </c>
      <c r="G15">
        <v>29.6</v>
      </c>
      <c r="H15">
        <v>26.5</v>
      </c>
      <c r="I15">
        <v>31.1</v>
      </c>
      <c r="J15">
        <v>41.2</v>
      </c>
      <c r="K15">
        <v>35.9</v>
      </c>
      <c r="L15">
        <v>39.700000000000003</v>
      </c>
      <c r="M15">
        <v>39.1</v>
      </c>
      <c r="N15">
        <f>AVERAGE(Table715[[#This Row],[Jan]:[Dec]])</f>
        <v>34.80833333333333</v>
      </c>
    </row>
    <row r="16" spans="1:18" x14ac:dyDescent="0.4">
      <c r="A16">
        <v>2019</v>
      </c>
      <c r="B16">
        <v>52.9</v>
      </c>
      <c r="C16">
        <v>46.8</v>
      </c>
      <c r="D16">
        <v>43.3</v>
      </c>
      <c r="E16">
        <v>58.8</v>
      </c>
      <c r="F16">
        <v>43.2</v>
      </c>
      <c r="G16">
        <v>33.200000000000003</v>
      </c>
      <c r="H16">
        <v>34.1</v>
      </c>
      <c r="I16">
        <v>32.299999999999997</v>
      </c>
      <c r="J16">
        <v>37.799999999999997</v>
      </c>
      <c r="K16">
        <v>40.799999999999997</v>
      </c>
      <c r="L16">
        <v>47.1</v>
      </c>
      <c r="M16">
        <v>43.8</v>
      </c>
      <c r="N16">
        <f>AVERAGE(Table715[[#This Row],[Jan]:[Dec]])</f>
        <v>42.841666666666669</v>
      </c>
    </row>
    <row r="17" spans="1:20" x14ac:dyDescent="0.4">
      <c r="A17" t="s">
        <v>16</v>
      </c>
      <c r="B17" s="1">
        <f>(B15-B16)/B16*100</f>
        <v>-33.270321361058599</v>
      </c>
      <c r="C17" s="1">
        <f t="shared" ref="C17:F17" si="3">(C15-C16)/C16*100</f>
        <v>-31.837606837606835</v>
      </c>
      <c r="D17" s="1">
        <f t="shared" si="3"/>
        <v>-12.93302540415703</v>
      </c>
      <c r="E17" s="1">
        <f t="shared" si="3"/>
        <v>-32.993197278911559</v>
      </c>
      <c r="F17" s="1">
        <f t="shared" si="3"/>
        <v>-29.861111111111114</v>
      </c>
      <c r="G17" s="1">
        <f t="shared" ref="G17:M17" si="4">(G15-G16)/G16*100</f>
        <v>-10.843373493975907</v>
      </c>
      <c r="H17" s="1">
        <f t="shared" si="4"/>
        <v>-22.287390029325515</v>
      </c>
      <c r="I17" s="1">
        <f t="shared" si="4"/>
        <v>-3.7151702786377583</v>
      </c>
      <c r="J17" s="1">
        <f t="shared" si="4"/>
        <v>8.9947089947090113</v>
      </c>
      <c r="K17" s="1">
        <f t="shared" si="4"/>
        <v>-12.009803921568626</v>
      </c>
      <c r="L17" s="1">
        <f t="shared" si="4"/>
        <v>-15.71125265392781</v>
      </c>
      <c r="M17" s="1">
        <f t="shared" si="4"/>
        <v>-10.730593607305927</v>
      </c>
      <c r="N17" s="1">
        <f>(N15-N16)/N16*100</f>
        <v>-18.751215716786628</v>
      </c>
    </row>
    <row r="18" spans="1:20" x14ac:dyDescent="0.4">
      <c r="B18" s="1"/>
      <c r="C18" s="1"/>
      <c r="D18" s="1"/>
      <c r="E18" s="1"/>
      <c r="F18" s="1"/>
      <c r="G18" s="1"/>
    </row>
    <row r="19" spans="1:20" x14ac:dyDescent="0.4">
      <c r="A19" t="s">
        <v>18</v>
      </c>
      <c r="B19" t="s">
        <v>1</v>
      </c>
      <c r="C19" t="s">
        <v>2</v>
      </c>
      <c r="D19" t="s">
        <v>3</v>
      </c>
      <c r="E19" t="s">
        <v>4</v>
      </c>
      <c r="F19" t="s">
        <v>5</v>
      </c>
      <c r="G19" t="s">
        <v>6</v>
      </c>
      <c r="H19" t="s">
        <v>7</v>
      </c>
      <c r="I19" t="s">
        <v>8</v>
      </c>
      <c r="J19" t="s">
        <v>9</v>
      </c>
      <c r="K19" t="s">
        <v>10</v>
      </c>
      <c r="L19" t="s">
        <v>11</v>
      </c>
      <c r="M19" t="s">
        <v>12</v>
      </c>
      <c r="N19" t="s">
        <v>13</v>
      </c>
    </row>
    <row r="20" spans="1:20" x14ac:dyDescent="0.4">
      <c r="A20" t="s">
        <v>60</v>
      </c>
      <c r="B20">
        <v>19.100000000000001</v>
      </c>
      <c r="C20" s="5"/>
      <c r="D20" s="5"/>
      <c r="E20">
        <v>18.399999999999999</v>
      </c>
      <c r="F20">
        <v>11.6</v>
      </c>
      <c r="G20">
        <v>10.5</v>
      </c>
      <c r="H20">
        <v>13.1</v>
      </c>
      <c r="I20">
        <v>12.4</v>
      </c>
      <c r="J20">
        <v>21.9</v>
      </c>
    </row>
    <row r="21" spans="1:20" ht="27.75" customHeight="1" x14ac:dyDescent="0.4">
      <c r="A21">
        <v>2020</v>
      </c>
      <c r="B21">
        <v>28.6</v>
      </c>
      <c r="C21">
        <v>19.399999999999999</v>
      </c>
      <c r="D21">
        <v>20.100000000000001</v>
      </c>
      <c r="E21">
        <v>19.899999999999999</v>
      </c>
      <c r="F21">
        <v>12.5</v>
      </c>
      <c r="G21">
        <v>13.2</v>
      </c>
      <c r="H21">
        <v>11.6</v>
      </c>
      <c r="I21">
        <v>14.4</v>
      </c>
      <c r="J21">
        <v>20.2</v>
      </c>
      <c r="K21">
        <v>18.399999999999999</v>
      </c>
      <c r="L21">
        <v>21</v>
      </c>
      <c r="M21">
        <v>8.6999999999999993</v>
      </c>
      <c r="N21">
        <f>AVERAGE(Table816[[#This Row],[Jan]:[Dec]])</f>
        <v>17.333333333333332</v>
      </c>
    </row>
    <row r="22" spans="1:20" x14ac:dyDescent="0.4">
      <c r="A22">
        <v>2019</v>
      </c>
      <c r="B22">
        <v>31</v>
      </c>
      <c r="C22">
        <v>31.3</v>
      </c>
      <c r="D22">
        <v>20.9</v>
      </c>
      <c r="E22">
        <v>26.1</v>
      </c>
      <c r="F22">
        <v>19.2</v>
      </c>
      <c r="G22">
        <v>16.8</v>
      </c>
      <c r="H22">
        <v>16.100000000000001</v>
      </c>
      <c r="I22">
        <v>17.3</v>
      </c>
      <c r="J22">
        <v>20.9</v>
      </c>
      <c r="K22">
        <v>26.9</v>
      </c>
      <c r="L22">
        <v>35.299999999999997</v>
      </c>
      <c r="M22">
        <v>30</v>
      </c>
      <c r="N22">
        <f>AVERAGE(Table816[[#This Row],[Jan]:[Dec]])</f>
        <v>24.316666666666666</v>
      </c>
    </row>
    <row r="23" spans="1:20" x14ac:dyDescent="0.4">
      <c r="A23" t="s">
        <v>16</v>
      </c>
      <c r="B23" s="1">
        <f>(B21-B22)/B22*100</f>
        <v>-7.7419354838709626</v>
      </c>
      <c r="C23" s="1">
        <f t="shared" ref="C23:F23" si="5">(C21-C22)/C22*100</f>
        <v>-38.019169329073485</v>
      </c>
      <c r="D23" s="1">
        <f t="shared" si="5"/>
        <v>-3.8277511961722355</v>
      </c>
      <c r="E23" s="1">
        <f t="shared" si="5"/>
        <v>-23.75478927203066</v>
      </c>
      <c r="F23" s="1">
        <f t="shared" si="5"/>
        <v>-34.895833333333329</v>
      </c>
      <c r="G23" s="1">
        <f t="shared" ref="G23:M23" si="6">(G21-G22)/G22*100</f>
        <v>-21.428571428571434</v>
      </c>
      <c r="H23" s="1">
        <f t="shared" si="6"/>
        <v>-27.950310559006219</v>
      </c>
      <c r="I23" s="1">
        <f t="shared" si="6"/>
        <v>-16.763005780346823</v>
      </c>
      <c r="J23" s="1">
        <f t="shared" si="6"/>
        <v>-3.3492822966507143</v>
      </c>
      <c r="K23" s="1">
        <f t="shared" si="6"/>
        <v>-31.59851301115242</v>
      </c>
      <c r="L23" s="1">
        <f t="shared" si="6"/>
        <v>-40.509915014164299</v>
      </c>
      <c r="M23" s="1">
        <f t="shared" si="6"/>
        <v>-71.000000000000014</v>
      </c>
      <c r="N23" s="1">
        <f>(N21-N22)/N22*100</f>
        <v>-28.718300205620288</v>
      </c>
    </row>
    <row r="25" spans="1:20" x14ac:dyDescent="0.4">
      <c r="A25" t="s">
        <v>19</v>
      </c>
      <c r="B25" s="4" t="s">
        <v>20</v>
      </c>
      <c r="C25" s="4" t="s">
        <v>21</v>
      </c>
      <c r="D25" s="4" t="s">
        <v>22</v>
      </c>
      <c r="E25" s="4" t="s">
        <v>23</v>
      </c>
      <c r="F25" s="4" t="s">
        <v>24</v>
      </c>
      <c r="G25" s="4" t="s">
        <v>25</v>
      </c>
      <c r="H25" s="4" t="s">
        <v>26</v>
      </c>
      <c r="I25" s="4" t="s">
        <v>27</v>
      </c>
      <c r="J25" s="4" t="s">
        <v>28</v>
      </c>
      <c r="K25" s="4" t="s">
        <v>29</v>
      </c>
      <c r="L25" s="4" t="s">
        <v>30</v>
      </c>
      <c r="M25" s="4" t="s">
        <v>31</v>
      </c>
      <c r="N25" s="4" t="s">
        <v>32</v>
      </c>
      <c r="O25" s="4" t="s">
        <v>13</v>
      </c>
    </row>
    <row r="26" spans="1:20" x14ac:dyDescent="0.4">
      <c r="A26" t="s">
        <v>59</v>
      </c>
      <c r="B26">
        <v>28.2</v>
      </c>
      <c r="C26">
        <v>25.8</v>
      </c>
      <c r="D26">
        <v>19.8</v>
      </c>
      <c r="E26">
        <v>16.899999999999999</v>
      </c>
      <c r="F26">
        <v>17.399999999999999</v>
      </c>
      <c r="G26">
        <v>10.3</v>
      </c>
      <c r="H26">
        <v>12.3</v>
      </c>
      <c r="I26">
        <v>11.2</v>
      </c>
      <c r="J26">
        <v>14.4</v>
      </c>
      <c r="K26">
        <v>19.600000000000001</v>
      </c>
      <c r="L26">
        <v>18.399999999999999</v>
      </c>
      <c r="M26">
        <v>27.6</v>
      </c>
      <c r="N26">
        <v>25.3</v>
      </c>
      <c r="O26">
        <f>AVERAGE(Table1217[[Dec-19]:[Dec-20]])</f>
        <v>19.015384615384615</v>
      </c>
    </row>
    <row r="28" spans="1:20" x14ac:dyDescent="0.4">
      <c r="A28" s="10" t="s">
        <v>19</v>
      </c>
      <c r="B28" s="11" t="s">
        <v>1</v>
      </c>
      <c r="C28" s="11" t="s">
        <v>2</v>
      </c>
      <c r="D28" s="11" t="s">
        <v>3</v>
      </c>
      <c r="E28" s="11" t="s">
        <v>4</v>
      </c>
      <c r="F28" s="11" t="s">
        <v>5</v>
      </c>
      <c r="G28" s="11" t="s">
        <v>6</v>
      </c>
      <c r="H28" s="11" t="s">
        <v>7</v>
      </c>
      <c r="I28" s="11" t="s">
        <v>8</v>
      </c>
      <c r="J28" s="11" t="s">
        <v>9</v>
      </c>
      <c r="K28" s="11" t="s">
        <v>10</v>
      </c>
      <c r="L28" s="11" t="s">
        <v>11</v>
      </c>
      <c r="M28" s="11" t="s">
        <v>12</v>
      </c>
      <c r="N28" s="12" t="s">
        <v>13</v>
      </c>
    </row>
    <row r="29" spans="1:20" x14ac:dyDescent="0.4">
      <c r="A29">
        <v>2020</v>
      </c>
      <c r="B29" s="8">
        <v>25.8</v>
      </c>
      <c r="C29" s="8">
        <v>19.8</v>
      </c>
      <c r="D29" s="8">
        <v>16.899999999999999</v>
      </c>
      <c r="E29" s="8">
        <v>17.399999999999999</v>
      </c>
      <c r="F29" s="8">
        <v>10.3</v>
      </c>
      <c r="G29" s="8">
        <v>12.3</v>
      </c>
      <c r="H29" s="8">
        <v>11.2</v>
      </c>
      <c r="I29" s="8">
        <v>14.4</v>
      </c>
      <c r="J29" s="8">
        <v>19.600000000000001</v>
      </c>
      <c r="K29" s="8">
        <v>18.399999999999999</v>
      </c>
      <c r="L29" s="8">
        <v>27.6</v>
      </c>
      <c r="M29" s="8">
        <v>25.3</v>
      </c>
      <c r="N29" s="9">
        <f>AVERAGE(Table4[[#This Row],[Jan]:[Dec]])</f>
        <v>18.25</v>
      </c>
    </row>
    <row r="30" spans="1:20" x14ac:dyDescent="0.4">
      <c r="A30">
        <v>2021</v>
      </c>
      <c r="B30">
        <v>25.9</v>
      </c>
      <c r="C30">
        <v>20.6</v>
      </c>
      <c r="D30">
        <v>23.1</v>
      </c>
      <c r="E30">
        <v>21.7</v>
      </c>
      <c r="F30">
        <v>15.8</v>
      </c>
      <c r="G30">
        <v>13.4</v>
      </c>
      <c r="H30">
        <v>14.3</v>
      </c>
      <c r="I30">
        <v>11</v>
      </c>
      <c r="J30">
        <v>20.7</v>
      </c>
    </row>
    <row r="31" spans="1:20" x14ac:dyDescent="0.4">
      <c r="S31" t="s">
        <v>54</v>
      </c>
      <c r="T31" t="s">
        <v>65</v>
      </c>
    </row>
    <row r="32" spans="1:20" x14ac:dyDescent="0.4">
      <c r="A32" s="23" t="s">
        <v>53</v>
      </c>
    </row>
    <row r="41" spans="2:9" x14ac:dyDescent="0.4">
      <c r="B41" s="4"/>
      <c r="C41" s="4"/>
      <c r="D41" s="4"/>
      <c r="E41" s="4"/>
      <c r="F41" s="4"/>
      <c r="G41" s="4"/>
      <c r="H41" s="4"/>
      <c r="I41" s="4"/>
    </row>
    <row r="72" spans="1:1" ht="23.15" x14ac:dyDescent="0.6">
      <c r="A72" s="25" t="s">
        <v>66</v>
      </c>
    </row>
    <row r="73" spans="1:1" ht="23.15" x14ac:dyDescent="0.6">
      <c r="A73" s="25" t="s">
        <v>67</v>
      </c>
    </row>
  </sheetData>
  <pageMargins left="0.7" right="0.7" top="0.75" bottom="0.75" header="0.3" footer="0.3"/>
  <pageSetup paperSize="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4" zoomScale="96" zoomScaleNormal="96" workbookViewId="0">
      <selection activeCell="S21" sqref="S21"/>
    </sheetView>
  </sheetViews>
  <sheetFormatPr defaultRowHeight="14.6" x14ac:dyDescent="0.4"/>
  <cols>
    <col min="1" max="1" width="27.69140625" customWidth="1"/>
    <col min="2" max="2" width="9.84375" customWidth="1"/>
    <col min="14" max="14" width="18.15234375" customWidth="1"/>
  </cols>
  <sheetData>
    <row r="1" spans="1:15" x14ac:dyDescent="0.4">
      <c r="A1" t="s">
        <v>33</v>
      </c>
      <c r="B1" t="s">
        <v>34</v>
      </c>
      <c r="C1" t="s">
        <v>35</v>
      </c>
      <c r="D1" t="s">
        <v>36</v>
      </c>
      <c r="E1" t="s">
        <v>37</v>
      </c>
      <c r="F1" t="s">
        <v>5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13</v>
      </c>
      <c r="O1" t="s">
        <v>54</v>
      </c>
    </row>
    <row r="2" spans="1:15" x14ac:dyDescent="0.4">
      <c r="A2">
        <v>2021</v>
      </c>
      <c r="B2" s="5"/>
      <c r="C2">
        <v>21.5</v>
      </c>
      <c r="D2">
        <v>26.5</v>
      </c>
      <c r="E2">
        <v>20.9</v>
      </c>
      <c r="F2">
        <v>17.8</v>
      </c>
      <c r="G2" s="5"/>
      <c r="H2" s="5"/>
      <c r="I2" s="5"/>
      <c r="J2" s="5"/>
      <c r="N2" s="2">
        <f>AVERAGE(Table5[[#This Row],[January]:[May]])</f>
        <v>21.675000000000001</v>
      </c>
      <c r="O2">
        <v>15</v>
      </c>
    </row>
    <row r="3" spans="1:15" x14ac:dyDescent="0.4">
      <c r="A3">
        <v>2020</v>
      </c>
      <c r="B3" s="5"/>
      <c r="C3">
        <v>20.6</v>
      </c>
      <c r="D3">
        <v>21.8</v>
      </c>
      <c r="E3">
        <v>29.8</v>
      </c>
      <c r="F3" s="5"/>
      <c r="G3">
        <v>15.9</v>
      </c>
      <c r="H3" s="5"/>
      <c r="I3">
        <v>19.899999999999999</v>
      </c>
      <c r="J3">
        <v>19.100000000000001</v>
      </c>
      <c r="K3">
        <v>12.8</v>
      </c>
      <c r="L3">
        <v>15.4</v>
      </c>
      <c r="N3">
        <f>AVERAGE(C3:E3,G3,I3:J3,K3,L3)</f>
        <v>19.412500000000001</v>
      </c>
      <c r="O3">
        <v>15</v>
      </c>
    </row>
    <row r="4" spans="1:15" x14ac:dyDescent="0.4">
      <c r="A4">
        <v>2019</v>
      </c>
      <c r="B4">
        <v>21.7</v>
      </c>
      <c r="C4">
        <v>28.6</v>
      </c>
      <c r="D4">
        <v>18.5</v>
      </c>
      <c r="E4">
        <v>29.5</v>
      </c>
      <c r="F4">
        <v>17.899999999999999</v>
      </c>
      <c r="G4">
        <v>16.2</v>
      </c>
      <c r="H4" s="5"/>
      <c r="I4" s="5"/>
      <c r="J4" s="5"/>
      <c r="K4">
        <v>19.2</v>
      </c>
      <c r="L4" s="3"/>
      <c r="M4">
        <v>15.3</v>
      </c>
      <c r="N4">
        <f>AVERAGE(B4:G4,K4,M4)</f>
        <v>20.862499999999997</v>
      </c>
      <c r="O4">
        <v>15</v>
      </c>
    </row>
    <row r="5" spans="1:15" x14ac:dyDescent="0.4">
      <c r="A5" t="s">
        <v>52</v>
      </c>
      <c r="B5" s="6"/>
      <c r="C5" s="1">
        <f t="shared" ref="C5:E5" si="0">(C3-C4)/C4*100</f>
        <v>-27.97202797202797</v>
      </c>
      <c r="D5" s="1">
        <f t="shared" si="0"/>
        <v>17.837837837837842</v>
      </c>
      <c r="E5" s="1">
        <f t="shared" si="0"/>
        <v>1.0169491525423753</v>
      </c>
      <c r="F5" s="6"/>
      <c r="G5">
        <f>(G3-G4)/G4*100</f>
        <v>-1.8518518518518454</v>
      </c>
      <c r="H5" s="5"/>
      <c r="K5">
        <f>(K3-K4)/K4*100</f>
        <v>-33.333333333333329</v>
      </c>
      <c r="L5" s="5"/>
      <c r="N5">
        <f>(N3-N4)/N4*100</f>
        <v>-6.9502696225284408</v>
      </c>
      <c r="O5">
        <v>15</v>
      </c>
    </row>
    <row r="7" spans="1:15" x14ac:dyDescent="0.4">
      <c r="A7" t="s">
        <v>45</v>
      </c>
      <c r="B7" t="s">
        <v>34</v>
      </c>
      <c r="C7" t="s">
        <v>35</v>
      </c>
      <c r="D7" t="s">
        <v>36</v>
      </c>
      <c r="E7" t="s">
        <v>37</v>
      </c>
      <c r="F7" t="s">
        <v>5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46</v>
      </c>
      <c r="O7" t="s">
        <v>55</v>
      </c>
    </row>
    <row r="8" spans="1:15" x14ac:dyDescent="0.4">
      <c r="A8">
        <v>2021</v>
      </c>
      <c r="B8">
        <v>13.7</v>
      </c>
      <c r="C8">
        <v>20.399999999999999</v>
      </c>
      <c r="D8">
        <v>23.7</v>
      </c>
      <c r="E8">
        <v>25.1</v>
      </c>
      <c r="F8">
        <v>15.7</v>
      </c>
      <c r="G8">
        <v>20</v>
      </c>
      <c r="H8">
        <v>22.6</v>
      </c>
      <c r="I8">
        <v>16.399999999999999</v>
      </c>
      <c r="J8">
        <v>25.3</v>
      </c>
      <c r="N8" s="2">
        <f>AVERAGE(Table9[[#This Row],[January]:[May]])</f>
        <v>19.720000000000002</v>
      </c>
      <c r="O8">
        <v>15</v>
      </c>
    </row>
    <row r="9" spans="1:15" x14ac:dyDescent="0.4">
      <c r="A9">
        <v>2020</v>
      </c>
      <c r="B9">
        <v>17.399999999999999</v>
      </c>
      <c r="C9">
        <v>15.4</v>
      </c>
      <c r="D9">
        <v>17.8</v>
      </c>
      <c r="E9">
        <v>26.1</v>
      </c>
      <c r="F9">
        <v>19.100000000000001</v>
      </c>
      <c r="G9">
        <v>17.8</v>
      </c>
      <c r="H9">
        <v>13.7</v>
      </c>
      <c r="I9">
        <v>23.1</v>
      </c>
      <c r="J9">
        <v>20.100000000000001</v>
      </c>
      <c r="K9">
        <v>13.1</v>
      </c>
      <c r="L9">
        <v>24.1</v>
      </c>
      <c r="N9">
        <f>AVERAGE(Table9[[#This Row],[January]:[November]])</f>
        <v>18.881818181818179</v>
      </c>
      <c r="O9">
        <v>15</v>
      </c>
    </row>
    <row r="10" spans="1:15" x14ac:dyDescent="0.4">
      <c r="A10">
        <v>2019</v>
      </c>
      <c r="B10">
        <v>22</v>
      </c>
      <c r="C10">
        <v>25.3</v>
      </c>
      <c r="D10">
        <v>18.5</v>
      </c>
      <c r="E10">
        <v>33.1</v>
      </c>
      <c r="F10">
        <v>19.3</v>
      </c>
      <c r="G10">
        <v>18.600000000000001</v>
      </c>
      <c r="H10">
        <v>17.5</v>
      </c>
      <c r="I10">
        <v>20</v>
      </c>
      <c r="J10">
        <v>18.5</v>
      </c>
      <c r="K10">
        <v>18.7</v>
      </c>
      <c r="L10">
        <v>17.8</v>
      </c>
      <c r="M10">
        <v>15.5</v>
      </c>
      <c r="N10">
        <f>AVERAGE(Table9[[#This Row],[January]:[December]])</f>
        <v>20.400000000000002</v>
      </c>
      <c r="O10">
        <v>15</v>
      </c>
    </row>
    <row r="11" spans="1:15" x14ac:dyDescent="0.4">
      <c r="A11" t="s">
        <v>52</v>
      </c>
      <c r="B11" s="1">
        <f>(B9-B10)/B10*100</f>
        <v>-20.909090909090917</v>
      </c>
      <c r="C11" s="1">
        <f t="shared" ref="C11:F11" si="1">(C9-C10)/C10*100</f>
        <v>-39.130434782608695</v>
      </c>
      <c r="D11" s="1">
        <f t="shared" si="1"/>
        <v>-3.7837837837837798</v>
      </c>
      <c r="E11" s="1">
        <f t="shared" si="1"/>
        <v>-21.148036253776432</v>
      </c>
      <c r="F11" s="1">
        <f t="shared" si="1"/>
        <v>-1.0362694300518096</v>
      </c>
      <c r="G11">
        <f t="shared" ref="G11:L11" si="2">(G9-G10)/G10*100</f>
        <v>-4.3010752688172085</v>
      </c>
      <c r="H11">
        <f t="shared" si="2"/>
        <v>-21.714285714285719</v>
      </c>
      <c r="I11">
        <f t="shared" si="2"/>
        <v>15.500000000000009</v>
      </c>
      <c r="J11">
        <f t="shared" si="2"/>
        <v>8.6486486486486562</v>
      </c>
      <c r="K11">
        <f t="shared" si="2"/>
        <v>-29.946524064171122</v>
      </c>
      <c r="L11">
        <f t="shared" si="2"/>
        <v>35.393258426966298</v>
      </c>
      <c r="N11">
        <f>(N9-N10)/N10*100</f>
        <v>-7.4420677361854066</v>
      </c>
      <c r="O11">
        <v>15</v>
      </c>
    </row>
    <row r="13" spans="1:15" x14ac:dyDescent="0.4">
      <c r="A13" t="s">
        <v>47</v>
      </c>
      <c r="B13" t="s">
        <v>34</v>
      </c>
      <c r="C13" t="s">
        <v>35</v>
      </c>
      <c r="D13" t="s">
        <v>36</v>
      </c>
      <c r="E13" t="s">
        <v>37</v>
      </c>
      <c r="F13" t="s">
        <v>5</v>
      </c>
      <c r="G13" t="s">
        <v>38</v>
      </c>
      <c r="H13" t="s">
        <v>39</v>
      </c>
      <c r="I13" t="s">
        <v>40</v>
      </c>
      <c r="J13" t="s">
        <v>41</v>
      </c>
      <c r="K13" t="s">
        <v>42</v>
      </c>
      <c r="L13" t="s">
        <v>43</v>
      </c>
      <c r="M13" t="s">
        <v>44</v>
      </c>
      <c r="N13" t="s">
        <v>46</v>
      </c>
      <c r="O13" t="s">
        <v>55</v>
      </c>
    </row>
    <row r="14" spans="1:15" x14ac:dyDescent="0.4">
      <c r="A14" t="s">
        <v>60</v>
      </c>
      <c r="B14">
        <v>11.8</v>
      </c>
      <c r="C14" s="5"/>
      <c r="D14">
        <v>19.899999999999999</v>
      </c>
      <c r="E14">
        <v>18.100000000000001</v>
      </c>
      <c r="F14">
        <v>10.9</v>
      </c>
      <c r="G14">
        <v>13</v>
      </c>
      <c r="H14">
        <v>14.8</v>
      </c>
      <c r="I14">
        <v>10.1</v>
      </c>
      <c r="J14">
        <v>17.3</v>
      </c>
      <c r="N14" s="2">
        <f>AVERAGE(Table10[[#This Row],[January]:[May]])</f>
        <v>15.174999999999999</v>
      </c>
      <c r="O14">
        <v>15</v>
      </c>
    </row>
    <row r="15" spans="1:15" x14ac:dyDescent="0.4">
      <c r="A15">
        <v>2020</v>
      </c>
      <c r="B15" s="21">
        <v>14.1</v>
      </c>
      <c r="C15" s="21">
        <v>11.2</v>
      </c>
      <c r="D15" s="21">
        <v>13.8</v>
      </c>
      <c r="E15" s="21">
        <v>21.9</v>
      </c>
      <c r="F15" s="21">
        <v>13.1</v>
      </c>
      <c r="G15">
        <v>11.7</v>
      </c>
      <c r="H15">
        <v>8.4</v>
      </c>
      <c r="I15">
        <v>16.2</v>
      </c>
      <c r="J15">
        <v>14.3</v>
      </c>
      <c r="K15">
        <v>9.4</v>
      </c>
      <c r="L15">
        <v>20.2</v>
      </c>
      <c r="M15">
        <v>12</v>
      </c>
      <c r="N15">
        <f>AVERAGE(Table10[[#This Row],[January]:[December]])</f>
        <v>13.858333333333333</v>
      </c>
      <c r="O15">
        <v>15</v>
      </c>
    </row>
    <row r="16" spans="1:15" x14ac:dyDescent="0.4">
      <c r="A16">
        <v>2019</v>
      </c>
      <c r="B16">
        <v>16.399999999999999</v>
      </c>
      <c r="C16">
        <v>21.2</v>
      </c>
      <c r="D16">
        <v>14.7</v>
      </c>
      <c r="E16">
        <v>29.6</v>
      </c>
      <c r="F16">
        <v>12.6</v>
      </c>
      <c r="G16">
        <v>11</v>
      </c>
      <c r="H16">
        <v>10.8</v>
      </c>
      <c r="I16">
        <v>12.7</v>
      </c>
      <c r="J16">
        <v>10.1</v>
      </c>
      <c r="K16">
        <v>11.8</v>
      </c>
      <c r="L16">
        <v>13.6</v>
      </c>
      <c r="M16">
        <v>12.8</v>
      </c>
      <c r="N16">
        <f>AVERAGE(Table10[[#This Row],[January]:[December]])</f>
        <v>14.775</v>
      </c>
      <c r="O16">
        <v>15</v>
      </c>
    </row>
    <row r="17" spans="1:15" x14ac:dyDescent="0.4">
      <c r="A17" t="s">
        <v>52</v>
      </c>
      <c r="B17" s="1">
        <f>(B15-B16)/B16*100</f>
        <v>-14.024390243902435</v>
      </c>
      <c r="C17" s="1">
        <f t="shared" ref="C17:F17" si="3">(C15-C16)/C16*100</f>
        <v>-47.169811320754718</v>
      </c>
      <c r="D17" s="1">
        <f t="shared" si="3"/>
        <v>-6.1224489795918275</v>
      </c>
      <c r="E17" s="1">
        <f t="shared" si="3"/>
        <v>-26.013513513513519</v>
      </c>
      <c r="F17" s="1">
        <f t="shared" si="3"/>
        <v>3.9682539682539679</v>
      </c>
      <c r="G17">
        <f>(G15-G16)/G16*100</f>
        <v>6.3636363636363571</v>
      </c>
      <c r="H17">
        <f>(H15-H16)/H16*100</f>
        <v>-22.222222222222225</v>
      </c>
      <c r="I17">
        <f>(I15/I16)/I16*100</f>
        <v>10.044020088040176</v>
      </c>
      <c r="J17">
        <f>(J15-J16)/J16*100</f>
        <v>41.5841584158416</v>
      </c>
      <c r="K17">
        <f>(K15-K16)/K16*100</f>
        <v>-20.33898305084746</v>
      </c>
      <c r="L17">
        <f>(L15-L16)/L16*100</f>
        <v>48.529411764705884</v>
      </c>
      <c r="M17">
        <f>(M15-M16)/M16*100</f>
        <v>-6.2500000000000053</v>
      </c>
      <c r="N17">
        <f>(N15-N16)/N16*100</f>
        <v>-6.20417371686408</v>
      </c>
      <c r="O17">
        <v>15</v>
      </c>
    </row>
    <row r="19" spans="1:15" x14ac:dyDescent="0.4">
      <c r="A19" t="s">
        <v>48</v>
      </c>
    </row>
    <row r="22" spans="1:15" x14ac:dyDescent="0.4">
      <c r="A22" s="23" t="s">
        <v>53</v>
      </c>
    </row>
    <row r="33" spans="1:1" ht="23.15" x14ac:dyDescent="0.6">
      <c r="A33" s="25" t="s">
        <v>71</v>
      </c>
    </row>
    <row r="34" spans="1:1" ht="23.15" x14ac:dyDescent="0.6">
      <c r="A34" s="25" t="s">
        <v>68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="70" zoomScaleNormal="70" workbookViewId="0">
      <selection activeCell="J44" sqref="J44"/>
    </sheetView>
  </sheetViews>
  <sheetFormatPr defaultRowHeight="14.6" x14ac:dyDescent="0.4"/>
  <cols>
    <col min="1" max="1" width="28.84375" customWidth="1"/>
    <col min="2" max="2" width="11.4609375" customWidth="1"/>
    <col min="3" max="4" width="11.53515625" customWidth="1"/>
    <col min="5" max="5" width="11.84375" customWidth="1"/>
    <col min="6" max="6" width="11.53515625" customWidth="1"/>
    <col min="7" max="7" width="11.4609375" customWidth="1"/>
    <col min="8" max="8" width="12" customWidth="1"/>
    <col min="13" max="13" width="14.84375" customWidth="1"/>
  </cols>
  <sheetData>
    <row r="1" spans="1:15" x14ac:dyDescent="0.4">
      <c r="A1" t="s">
        <v>49</v>
      </c>
      <c r="B1" t="s">
        <v>34</v>
      </c>
      <c r="C1" t="s">
        <v>35</v>
      </c>
      <c r="D1" t="s">
        <v>36</v>
      </c>
      <c r="E1" t="s">
        <v>37</v>
      </c>
      <c r="F1" t="s">
        <v>5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13</v>
      </c>
      <c r="O1" t="s">
        <v>54</v>
      </c>
    </row>
    <row r="2" spans="1:15" x14ac:dyDescent="0.4">
      <c r="A2">
        <v>2021</v>
      </c>
      <c r="B2">
        <v>9</v>
      </c>
      <c r="C2" s="5"/>
      <c r="D2">
        <v>13.7</v>
      </c>
      <c r="E2">
        <v>10.7</v>
      </c>
      <c r="F2">
        <v>6.9</v>
      </c>
      <c r="G2">
        <v>7.9</v>
      </c>
      <c r="H2" s="2">
        <v>9.1</v>
      </c>
      <c r="I2">
        <v>5.7</v>
      </c>
      <c r="J2">
        <v>11.5</v>
      </c>
      <c r="N2" s="2">
        <f>AVERAGE(Table2[[#This Row],[January]:[May]])</f>
        <v>10.074999999999999</v>
      </c>
      <c r="O2">
        <v>5</v>
      </c>
    </row>
    <row r="3" spans="1:15" x14ac:dyDescent="0.4">
      <c r="A3">
        <v>2020</v>
      </c>
      <c r="B3">
        <v>9.9</v>
      </c>
      <c r="C3">
        <v>6.6</v>
      </c>
      <c r="D3">
        <v>8.8000000000000007</v>
      </c>
      <c r="E3">
        <v>14.6</v>
      </c>
      <c r="F3">
        <v>7.6</v>
      </c>
      <c r="G3">
        <v>6.9</v>
      </c>
      <c r="H3">
        <v>4.3</v>
      </c>
      <c r="I3">
        <v>10</v>
      </c>
      <c r="J3">
        <v>7.7</v>
      </c>
      <c r="K3">
        <v>5.4</v>
      </c>
      <c r="L3">
        <v>14.8</v>
      </c>
      <c r="M3">
        <v>8.3000000000000007</v>
      </c>
      <c r="N3">
        <f>AVERAGE(Table2[[#This Row],[January]:[December]])</f>
        <v>8.7416666666666654</v>
      </c>
      <c r="O3">
        <v>5</v>
      </c>
    </row>
    <row r="4" spans="1:15" x14ac:dyDescent="0.4">
      <c r="A4">
        <v>2019</v>
      </c>
      <c r="B4">
        <v>11.9</v>
      </c>
      <c r="C4">
        <v>15.7</v>
      </c>
      <c r="D4">
        <v>10</v>
      </c>
      <c r="E4">
        <v>22.2</v>
      </c>
      <c r="F4">
        <v>8.3000000000000007</v>
      </c>
      <c r="G4">
        <v>6.8</v>
      </c>
      <c r="H4">
        <v>5.8</v>
      </c>
      <c r="I4">
        <v>7.8</v>
      </c>
      <c r="J4">
        <v>5.3</v>
      </c>
      <c r="K4">
        <v>7.3</v>
      </c>
      <c r="L4">
        <v>9.8000000000000007</v>
      </c>
      <c r="M4">
        <v>9</v>
      </c>
      <c r="N4">
        <f>AVERAGE(Table2[[#This Row],[January]:[December]])</f>
        <v>9.9916666666666654</v>
      </c>
      <c r="O4">
        <v>5</v>
      </c>
    </row>
    <row r="5" spans="1:15" x14ac:dyDescent="0.4">
      <c r="A5" t="s">
        <v>52</v>
      </c>
      <c r="B5">
        <f>(B3-B4)/B4*100</f>
        <v>-16.806722689075627</v>
      </c>
      <c r="C5">
        <f t="shared" ref="C5:F5" si="0">(C3-C4)/C4*100</f>
        <v>-57.961783439490446</v>
      </c>
      <c r="D5">
        <f t="shared" si="0"/>
        <v>-11.999999999999993</v>
      </c>
      <c r="E5">
        <f t="shared" si="0"/>
        <v>-34.234234234234236</v>
      </c>
      <c r="F5">
        <f t="shared" si="0"/>
        <v>-8.4337349397590486</v>
      </c>
      <c r="G5">
        <f t="shared" ref="G5:L5" si="1">(G3-G4)/G4*100</f>
        <v>1.4705882352941255</v>
      </c>
      <c r="H5">
        <f t="shared" si="1"/>
        <v>-25.862068965517242</v>
      </c>
      <c r="I5">
        <f t="shared" si="1"/>
        <v>28.205128205128212</v>
      </c>
      <c r="J5">
        <f t="shared" si="1"/>
        <v>45.283018867924532</v>
      </c>
      <c r="K5">
        <f t="shared" si="1"/>
        <v>-26.027397260273965</v>
      </c>
      <c r="L5">
        <f t="shared" si="1"/>
        <v>51.020408163265309</v>
      </c>
      <c r="M5">
        <f>(8.3-9)/M4*100</f>
        <v>-7.7777777777777697</v>
      </c>
      <c r="N5">
        <f>(N3-N4)/N4*100</f>
        <v>-12.510425354462054</v>
      </c>
      <c r="O5">
        <v>5</v>
      </c>
    </row>
    <row r="7" spans="1:15" x14ac:dyDescent="0.4">
      <c r="A7" t="s">
        <v>33</v>
      </c>
      <c r="B7" t="s">
        <v>34</v>
      </c>
      <c r="C7" t="s">
        <v>35</v>
      </c>
      <c r="D7" t="s">
        <v>36</v>
      </c>
      <c r="E7" t="s">
        <v>37</v>
      </c>
      <c r="F7" t="s">
        <v>5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13</v>
      </c>
      <c r="O7" t="s">
        <v>55</v>
      </c>
    </row>
    <row r="8" spans="1:15" x14ac:dyDescent="0.4">
      <c r="A8">
        <v>2021</v>
      </c>
      <c r="B8">
        <v>14.2</v>
      </c>
      <c r="C8" s="5"/>
      <c r="D8">
        <v>18.5</v>
      </c>
      <c r="E8">
        <v>13.6</v>
      </c>
      <c r="F8">
        <v>13.1</v>
      </c>
      <c r="G8" s="5"/>
      <c r="H8" s="5"/>
      <c r="I8" s="5"/>
      <c r="J8" s="5"/>
      <c r="N8" s="2">
        <f>AVERAGE(Table3[[#This Row],[January]:[May]])</f>
        <v>14.850000000000001</v>
      </c>
      <c r="O8">
        <v>5</v>
      </c>
    </row>
    <row r="9" spans="1:15" x14ac:dyDescent="0.4">
      <c r="A9">
        <v>2020</v>
      </c>
      <c r="B9">
        <v>12.2</v>
      </c>
      <c r="C9">
        <v>8.6999999999999993</v>
      </c>
      <c r="D9">
        <v>11</v>
      </c>
      <c r="E9">
        <v>17.8</v>
      </c>
      <c r="F9">
        <v>11.5</v>
      </c>
      <c r="G9">
        <v>11.9</v>
      </c>
      <c r="H9">
        <v>9.6</v>
      </c>
      <c r="I9">
        <v>13.9</v>
      </c>
      <c r="J9">
        <v>13.5</v>
      </c>
      <c r="K9">
        <v>10.7</v>
      </c>
      <c r="L9">
        <v>18.5</v>
      </c>
      <c r="N9">
        <f>AVERAGE(Table3[[#This Row],[January]:[November]])</f>
        <v>12.663636363636364</v>
      </c>
      <c r="O9">
        <v>5</v>
      </c>
    </row>
    <row r="10" spans="1:15" x14ac:dyDescent="0.4">
      <c r="A10">
        <v>2019</v>
      </c>
      <c r="B10">
        <v>15.6</v>
      </c>
      <c r="C10">
        <v>21.7</v>
      </c>
      <c r="D10">
        <v>13.6</v>
      </c>
      <c r="E10">
        <v>24.8</v>
      </c>
      <c r="F10" s="5"/>
      <c r="G10" s="5"/>
      <c r="H10">
        <v>12.5</v>
      </c>
      <c r="I10">
        <v>14</v>
      </c>
      <c r="J10">
        <v>10.199999999999999</v>
      </c>
      <c r="K10">
        <v>11.8</v>
      </c>
      <c r="L10">
        <v>15</v>
      </c>
      <c r="M10">
        <v>11.4</v>
      </c>
      <c r="N10">
        <f>AVERAGE(B10:E10,H10:M10)</f>
        <v>15.059999999999999</v>
      </c>
      <c r="O10">
        <v>5</v>
      </c>
    </row>
    <row r="11" spans="1:15" x14ac:dyDescent="0.4">
      <c r="A11" t="s">
        <v>52</v>
      </c>
      <c r="B11">
        <f>(B9-B10)/B10*100</f>
        <v>-21.794871794871799</v>
      </c>
      <c r="C11">
        <f t="shared" ref="C11:E11" si="2">(C9-C10)/C10*100</f>
        <v>-59.907834101382498</v>
      </c>
      <c r="D11">
        <f t="shared" si="2"/>
        <v>-19.117647058823529</v>
      </c>
      <c r="E11">
        <f t="shared" si="2"/>
        <v>-28.2258064516129</v>
      </c>
      <c r="F11" s="5"/>
      <c r="G11" s="5"/>
      <c r="H11">
        <f>(H9-H10)/H10*100</f>
        <v>-23.200000000000003</v>
      </c>
      <c r="I11">
        <f>(I9-I10)/I10*100</f>
        <v>-0.71428571428571175</v>
      </c>
      <c r="J11">
        <f>(J9-J10)/J10*100</f>
        <v>32.352941176470594</v>
      </c>
      <c r="K11">
        <f>(K9-K10)/K10*100</f>
        <v>-9.3220338983050954</v>
      </c>
      <c r="L11">
        <f>(L9-L10)/L10*100</f>
        <v>23.333333333333332</v>
      </c>
      <c r="N11">
        <f>(N9-N10)/N10*100</f>
        <v>-15.912109139200764</v>
      </c>
      <c r="O11">
        <v>5</v>
      </c>
    </row>
    <row r="13" spans="1:15" x14ac:dyDescent="0.4">
      <c r="A13" t="s">
        <v>50</v>
      </c>
    </row>
    <row r="15" spans="1:15" x14ac:dyDescent="0.4">
      <c r="A15" t="s">
        <v>19</v>
      </c>
      <c r="B15" s="4" t="s">
        <v>51</v>
      </c>
      <c r="C15" s="4" t="s">
        <v>20</v>
      </c>
      <c r="D15" s="4" t="s">
        <v>21</v>
      </c>
      <c r="E15" s="4" t="s">
        <v>22</v>
      </c>
      <c r="F15" s="4" t="s">
        <v>23</v>
      </c>
      <c r="G15" s="4" t="s">
        <v>24</v>
      </c>
      <c r="H15" s="4" t="s">
        <v>25</v>
      </c>
      <c r="I15" s="4" t="s">
        <v>26</v>
      </c>
      <c r="J15" s="4" t="s">
        <v>27</v>
      </c>
      <c r="K15" s="4" t="s">
        <v>28</v>
      </c>
      <c r="L15" s="4" t="s">
        <v>29</v>
      </c>
      <c r="M15" s="4" t="s">
        <v>30</v>
      </c>
      <c r="N15" s="4" t="s">
        <v>31</v>
      </c>
      <c r="O15" s="4" t="s">
        <v>56</v>
      </c>
    </row>
    <row r="16" spans="1:15" x14ac:dyDescent="0.4">
      <c r="B16">
        <v>8.6999999999999993</v>
      </c>
      <c r="C16">
        <v>9</v>
      </c>
      <c r="D16">
        <v>8.3000000000000007</v>
      </c>
      <c r="E16">
        <v>5.3</v>
      </c>
      <c r="F16">
        <v>7.7</v>
      </c>
      <c r="G16">
        <v>13.3</v>
      </c>
      <c r="H16" s="5"/>
      <c r="I16" s="5"/>
      <c r="J16" s="5"/>
      <c r="K16" s="5"/>
      <c r="L16" s="7">
        <v>11.8</v>
      </c>
      <c r="M16" s="7">
        <v>5.8</v>
      </c>
      <c r="N16" s="7">
        <v>16.899999999999999</v>
      </c>
      <c r="O16" s="7">
        <v>5</v>
      </c>
    </row>
    <row r="18" spans="1:15" x14ac:dyDescent="0.4">
      <c r="A18" s="11" t="s">
        <v>19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13" t="s">
        <v>7</v>
      </c>
      <c r="I18" s="13" t="s">
        <v>8</v>
      </c>
      <c r="J18" s="13" t="s">
        <v>9</v>
      </c>
      <c r="K18" s="13" t="s">
        <v>10</v>
      </c>
      <c r="L18" s="14" t="s">
        <v>11</v>
      </c>
      <c r="M18" s="13" t="s">
        <v>44</v>
      </c>
    </row>
    <row r="19" spans="1:15" x14ac:dyDescent="0.4">
      <c r="A19" s="15">
        <v>2020</v>
      </c>
      <c r="B19" s="15">
        <v>8.3000000000000007</v>
      </c>
      <c r="C19" s="15">
        <v>5.3</v>
      </c>
      <c r="D19" s="15">
        <v>7.7</v>
      </c>
      <c r="E19" s="15">
        <v>13.3</v>
      </c>
      <c r="F19" s="16"/>
      <c r="G19" s="16"/>
      <c r="H19" s="16"/>
      <c r="I19" s="16"/>
      <c r="J19" s="15">
        <v>11.8</v>
      </c>
      <c r="K19" s="15">
        <v>5.8</v>
      </c>
      <c r="L19" s="17">
        <v>16.899999999999999</v>
      </c>
      <c r="M19" s="15">
        <v>16.899999999999999</v>
      </c>
      <c r="O19">
        <v>5</v>
      </c>
    </row>
    <row r="20" spans="1:15" x14ac:dyDescent="0.4">
      <c r="A20" s="18">
        <v>2021</v>
      </c>
      <c r="B20" s="22"/>
      <c r="C20" s="22"/>
      <c r="D20" s="22"/>
      <c r="E20" s="22"/>
      <c r="F20" s="24"/>
      <c r="G20" s="20">
        <v>16.399999999999999</v>
      </c>
      <c r="H20" s="20">
        <v>9.3000000000000007</v>
      </c>
      <c r="I20" s="20">
        <v>6</v>
      </c>
      <c r="J20" s="18">
        <v>11</v>
      </c>
      <c r="K20" s="18"/>
      <c r="L20" s="19"/>
      <c r="M20" s="18"/>
      <c r="O20">
        <v>5</v>
      </c>
    </row>
    <row r="22" spans="1:15" x14ac:dyDescent="0.4">
      <c r="A22" s="23" t="s">
        <v>53</v>
      </c>
    </row>
    <row r="24" spans="1:15" ht="23.15" x14ac:dyDescent="0.6">
      <c r="A24" s="25" t="s">
        <v>69</v>
      </c>
      <c r="D24" s="25"/>
      <c r="E24" s="25"/>
    </row>
    <row r="25" spans="1:15" ht="23.15" x14ac:dyDescent="0.6">
      <c r="A25" s="25" t="s">
        <v>70</v>
      </c>
    </row>
    <row r="52" spans="1:1" x14ac:dyDescent="0.4">
      <c r="A52" t="s">
        <v>58</v>
      </c>
    </row>
    <row r="53" spans="1:1" x14ac:dyDescent="0.4">
      <c r="A53" t="s">
        <v>57</v>
      </c>
    </row>
  </sheetData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="96" zoomScaleNormal="96" workbookViewId="0">
      <selection activeCell="W30" sqref="W30"/>
    </sheetView>
  </sheetViews>
  <sheetFormatPr defaultRowHeight="14.6" x14ac:dyDescent="0.4"/>
  <cols>
    <col min="1" max="1" width="27.69140625" customWidth="1"/>
    <col min="2" max="2" width="9.84375" customWidth="1"/>
    <col min="14" max="14" width="18.15234375" customWidth="1"/>
  </cols>
  <sheetData>
    <row r="1" spans="1:15" x14ac:dyDescent="0.4">
      <c r="A1" t="s">
        <v>55</v>
      </c>
      <c r="B1" t="s">
        <v>34</v>
      </c>
      <c r="C1" t="s">
        <v>35</v>
      </c>
      <c r="D1" t="s">
        <v>36</v>
      </c>
      <c r="E1" t="s">
        <v>37</v>
      </c>
      <c r="F1" t="s">
        <v>5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13</v>
      </c>
      <c r="O1" t="s">
        <v>54</v>
      </c>
    </row>
    <row r="2" spans="1:15" x14ac:dyDescent="0.4">
      <c r="A2">
        <v>2021</v>
      </c>
      <c r="B2" s="5">
        <v>14.2</v>
      </c>
      <c r="C2" t="s">
        <v>64</v>
      </c>
      <c r="D2">
        <v>18.5</v>
      </c>
      <c r="E2">
        <v>13.6</v>
      </c>
      <c r="F2">
        <v>13.1</v>
      </c>
      <c r="G2" s="5" t="s">
        <v>64</v>
      </c>
      <c r="H2" s="5" t="s">
        <v>64</v>
      </c>
      <c r="I2" s="5" t="s">
        <v>64</v>
      </c>
      <c r="J2" s="5" t="s">
        <v>64</v>
      </c>
      <c r="K2" s="5" t="s">
        <v>64</v>
      </c>
      <c r="L2" s="5" t="s">
        <v>64</v>
      </c>
      <c r="M2" s="5" t="s">
        <v>64</v>
      </c>
      <c r="N2" s="2">
        <f>AVERAGE(Table58[[#This Row],[January]:[December]])</f>
        <v>14.850000000000001</v>
      </c>
      <c r="O2">
        <v>15</v>
      </c>
    </row>
    <row r="3" spans="1:15" x14ac:dyDescent="0.4">
      <c r="A3">
        <v>2020</v>
      </c>
      <c r="B3" s="5">
        <v>12.2</v>
      </c>
      <c r="C3">
        <v>8.6999999999999993</v>
      </c>
      <c r="D3">
        <v>11</v>
      </c>
      <c r="E3">
        <v>17.8</v>
      </c>
      <c r="F3" s="5">
        <v>11.5</v>
      </c>
      <c r="G3">
        <v>11.9</v>
      </c>
      <c r="H3" s="5">
        <v>9.6</v>
      </c>
      <c r="I3">
        <v>13.9</v>
      </c>
      <c r="J3">
        <v>13.5</v>
      </c>
      <c r="K3">
        <v>10.7</v>
      </c>
      <c r="L3">
        <v>18.5</v>
      </c>
      <c r="N3" s="2">
        <f>AVERAGE(Table58[[#This Row],[January]:[December]])</f>
        <v>12.663636363636364</v>
      </c>
      <c r="O3">
        <v>15</v>
      </c>
    </row>
    <row r="4" spans="1:15" x14ac:dyDescent="0.4">
      <c r="A4">
        <v>2019</v>
      </c>
      <c r="B4">
        <v>15.6</v>
      </c>
      <c r="C4">
        <v>21.7</v>
      </c>
      <c r="D4">
        <v>13.6</v>
      </c>
      <c r="E4">
        <v>24.8</v>
      </c>
      <c r="F4" t="s">
        <v>64</v>
      </c>
      <c r="G4" t="s">
        <v>64</v>
      </c>
      <c r="H4" s="5">
        <v>12.5</v>
      </c>
      <c r="I4" s="5">
        <v>14</v>
      </c>
      <c r="J4" s="5">
        <v>10.199999999999999</v>
      </c>
      <c r="K4">
        <v>11.8</v>
      </c>
      <c r="L4" s="3">
        <v>15</v>
      </c>
      <c r="M4">
        <v>11.4</v>
      </c>
      <c r="N4" s="2">
        <f>AVERAGE(Table58[[#This Row],[January]:[December]])</f>
        <v>15.059999999999999</v>
      </c>
      <c r="O4">
        <v>15</v>
      </c>
    </row>
    <row r="5" spans="1:15" x14ac:dyDescent="0.4">
      <c r="A5" t="s">
        <v>52</v>
      </c>
      <c r="B5" s="6"/>
      <c r="C5" s="1">
        <f>(C3-C4)/C4*100</f>
        <v>-59.907834101382498</v>
      </c>
      <c r="D5" s="1">
        <f t="shared" ref="D5:E5" si="0">(D3-D4)/D4*100</f>
        <v>-19.117647058823529</v>
      </c>
      <c r="E5" s="1">
        <f t="shared" si="0"/>
        <v>-28.2258064516129</v>
      </c>
      <c r="F5" s="6"/>
      <c r="G5" t="e">
        <f>(G3-G4)/G4*100</f>
        <v>#VALUE!</v>
      </c>
      <c r="H5" s="5"/>
      <c r="K5">
        <f>(K3-K4)/K4*100</f>
        <v>-9.3220338983050954</v>
      </c>
      <c r="L5" s="5"/>
      <c r="N5">
        <f>(N3-N4)/N4*100</f>
        <v>-15.912109139200764</v>
      </c>
      <c r="O5">
        <v>15</v>
      </c>
    </row>
    <row r="7" spans="1:15" x14ac:dyDescent="0.4">
      <c r="A7" t="s">
        <v>33</v>
      </c>
      <c r="B7" t="s">
        <v>34</v>
      </c>
      <c r="C7" t="s">
        <v>35</v>
      </c>
      <c r="D7" t="s">
        <v>36</v>
      </c>
      <c r="E7" t="s">
        <v>37</v>
      </c>
      <c r="F7" t="s">
        <v>5</v>
      </c>
      <c r="G7" t="s">
        <v>38</v>
      </c>
      <c r="H7" t="s">
        <v>39</v>
      </c>
      <c r="I7" t="s">
        <v>40</v>
      </c>
      <c r="J7" t="s">
        <v>41</v>
      </c>
      <c r="K7" t="s">
        <v>42</v>
      </c>
      <c r="L7" t="s">
        <v>43</v>
      </c>
      <c r="M7" t="s">
        <v>44</v>
      </c>
      <c r="N7" t="s">
        <v>46</v>
      </c>
      <c r="O7" t="s">
        <v>55</v>
      </c>
    </row>
    <row r="8" spans="1:15" x14ac:dyDescent="0.4">
      <c r="A8">
        <v>2021</v>
      </c>
      <c r="B8">
        <v>14.2</v>
      </c>
      <c r="D8">
        <v>18.5</v>
      </c>
      <c r="E8">
        <v>13.6</v>
      </c>
      <c r="F8">
        <v>13.1</v>
      </c>
      <c r="N8" s="2">
        <f>AVERAGE(Table99[[#This Row],[January]:[May]])</f>
        <v>14.850000000000001</v>
      </c>
      <c r="O8">
        <v>15</v>
      </c>
    </row>
    <row r="9" spans="1:15" x14ac:dyDescent="0.4">
      <c r="A9">
        <v>2020</v>
      </c>
      <c r="B9">
        <v>12.2</v>
      </c>
      <c r="C9">
        <v>8.6999999999999993</v>
      </c>
      <c r="D9">
        <v>11</v>
      </c>
      <c r="E9">
        <v>17.8</v>
      </c>
      <c r="F9">
        <v>11.5</v>
      </c>
      <c r="G9">
        <v>11.9</v>
      </c>
      <c r="H9">
        <v>9.6</v>
      </c>
      <c r="I9">
        <v>13.9</v>
      </c>
      <c r="J9">
        <v>13.5</v>
      </c>
      <c r="K9">
        <v>10.7</v>
      </c>
      <c r="L9">
        <v>18.5</v>
      </c>
      <c r="N9">
        <f>AVERAGE(Table99[[#This Row],[January]:[November]])</f>
        <v>12.663636363636364</v>
      </c>
      <c r="O9">
        <v>15</v>
      </c>
    </row>
    <row r="10" spans="1:15" x14ac:dyDescent="0.4">
      <c r="A10">
        <v>2019</v>
      </c>
      <c r="B10">
        <v>15.6</v>
      </c>
      <c r="C10">
        <v>21.7</v>
      </c>
      <c r="D10">
        <v>13.6</v>
      </c>
      <c r="E10">
        <v>24.8</v>
      </c>
      <c r="H10">
        <v>12.5</v>
      </c>
      <c r="I10">
        <v>14</v>
      </c>
      <c r="J10">
        <v>10.199999999999999</v>
      </c>
      <c r="K10">
        <v>11.8</v>
      </c>
      <c r="L10">
        <v>15</v>
      </c>
      <c r="M10">
        <v>11.4</v>
      </c>
      <c r="N10">
        <f>AVERAGE(Table99[[#This Row],[January]:[December]])</f>
        <v>15.059999999999999</v>
      </c>
      <c r="O10">
        <v>15</v>
      </c>
    </row>
    <row r="11" spans="1:15" x14ac:dyDescent="0.4">
      <c r="A11" t="s">
        <v>52</v>
      </c>
      <c r="B11" s="1">
        <f>(B9-B10)/B10*100</f>
        <v>-21.794871794871799</v>
      </c>
      <c r="C11" s="1">
        <f t="shared" ref="C11:L11" si="1">(C9-C10)/C10*100</f>
        <v>-59.907834101382498</v>
      </c>
      <c r="D11" s="1">
        <f t="shared" si="1"/>
        <v>-19.117647058823529</v>
      </c>
      <c r="E11" s="1">
        <f t="shared" si="1"/>
        <v>-28.2258064516129</v>
      </c>
      <c r="F11" s="1" t="e">
        <f t="shared" si="1"/>
        <v>#DIV/0!</v>
      </c>
      <c r="G11" t="e">
        <f t="shared" si="1"/>
        <v>#DIV/0!</v>
      </c>
      <c r="H11">
        <f t="shared" si="1"/>
        <v>-23.200000000000003</v>
      </c>
      <c r="I11">
        <f t="shared" si="1"/>
        <v>-0.71428571428571175</v>
      </c>
      <c r="J11">
        <f t="shared" si="1"/>
        <v>32.352941176470594</v>
      </c>
      <c r="K11">
        <f t="shared" si="1"/>
        <v>-9.3220338983050954</v>
      </c>
      <c r="L11">
        <f t="shared" si="1"/>
        <v>23.333333333333332</v>
      </c>
      <c r="N11">
        <f>(N9-N10)/N10*100</f>
        <v>-15.912109139200764</v>
      </c>
      <c r="O11">
        <v>15</v>
      </c>
    </row>
    <row r="13" spans="1:15" x14ac:dyDescent="0.4">
      <c r="A13" t="s">
        <v>49</v>
      </c>
      <c r="B13" t="s">
        <v>34</v>
      </c>
      <c r="C13" t="s">
        <v>35</v>
      </c>
      <c r="D13" t="s">
        <v>36</v>
      </c>
      <c r="E13" t="s">
        <v>37</v>
      </c>
      <c r="F13" t="s">
        <v>5</v>
      </c>
      <c r="G13" t="s">
        <v>38</v>
      </c>
      <c r="H13" t="s">
        <v>39</v>
      </c>
      <c r="I13" t="s">
        <v>40</v>
      </c>
      <c r="J13" t="s">
        <v>41</v>
      </c>
      <c r="K13" t="s">
        <v>42</v>
      </c>
      <c r="L13" t="s">
        <v>43</v>
      </c>
      <c r="M13" t="s">
        <v>44</v>
      </c>
      <c r="N13" t="s">
        <v>46</v>
      </c>
      <c r="O13" t="s">
        <v>55</v>
      </c>
    </row>
    <row r="14" spans="1:15" x14ac:dyDescent="0.4">
      <c r="A14" t="s">
        <v>63</v>
      </c>
      <c r="B14">
        <v>9</v>
      </c>
      <c r="D14">
        <v>13.7</v>
      </c>
      <c r="E14">
        <v>10.7</v>
      </c>
      <c r="F14">
        <v>6.9</v>
      </c>
      <c r="G14">
        <v>7.9</v>
      </c>
      <c r="H14">
        <v>9.1</v>
      </c>
      <c r="I14">
        <v>5.7</v>
      </c>
      <c r="J14">
        <v>11.5</v>
      </c>
      <c r="N14" s="2">
        <f>AVERAGE(Table1013[[#This Row],[January]:[May]])</f>
        <v>10.074999999999999</v>
      </c>
      <c r="O14">
        <v>15</v>
      </c>
    </row>
    <row r="15" spans="1:15" x14ac:dyDescent="0.4">
      <c r="A15">
        <v>2020</v>
      </c>
      <c r="B15">
        <v>9.9</v>
      </c>
      <c r="C15">
        <v>6.6</v>
      </c>
      <c r="D15">
        <v>8.8000000000000007</v>
      </c>
      <c r="E15">
        <v>14.6</v>
      </c>
      <c r="F15">
        <v>7.6</v>
      </c>
      <c r="G15">
        <v>6.9</v>
      </c>
      <c r="H15">
        <v>4.3</v>
      </c>
      <c r="I15">
        <v>10</v>
      </c>
      <c r="J15">
        <v>7.7</v>
      </c>
      <c r="K15">
        <v>5.4</v>
      </c>
      <c r="L15">
        <v>14.8</v>
      </c>
      <c r="M15">
        <v>8.3000000000000007</v>
      </c>
      <c r="N15">
        <f>AVERAGE(Table1013[[#This Row],[January]:[December]])</f>
        <v>8.7416666666666654</v>
      </c>
      <c r="O15">
        <v>15</v>
      </c>
    </row>
    <row r="16" spans="1:15" x14ac:dyDescent="0.4">
      <c r="A16">
        <v>2019</v>
      </c>
      <c r="B16">
        <v>11.9</v>
      </c>
      <c r="C16">
        <v>15.7</v>
      </c>
      <c r="D16">
        <v>10</v>
      </c>
      <c r="E16">
        <v>22.2</v>
      </c>
      <c r="F16">
        <v>8.3000000000000007</v>
      </c>
      <c r="G16">
        <v>6.8</v>
      </c>
      <c r="H16">
        <v>5.8</v>
      </c>
      <c r="I16">
        <v>7.8</v>
      </c>
      <c r="J16">
        <v>5.3</v>
      </c>
      <c r="K16">
        <v>7.3</v>
      </c>
      <c r="L16">
        <v>9.8000000000000007</v>
      </c>
      <c r="M16">
        <v>9</v>
      </c>
      <c r="N16">
        <f>AVERAGE(Table1013[[#This Row],[January]:[December]])</f>
        <v>9.9916666666666654</v>
      </c>
      <c r="O16">
        <v>15</v>
      </c>
    </row>
    <row r="17" spans="1:15" x14ac:dyDescent="0.4">
      <c r="A17" t="s">
        <v>52</v>
      </c>
      <c r="B17" s="1">
        <f>(B15-B16)/B16*100</f>
        <v>-16.806722689075627</v>
      </c>
      <c r="C17" s="1">
        <f t="shared" ref="C17:F17" si="2">(C15-C16)/C16*100</f>
        <v>-57.961783439490446</v>
      </c>
      <c r="D17" s="1">
        <f t="shared" si="2"/>
        <v>-11.999999999999993</v>
      </c>
      <c r="E17" s="1">
        <f t="shared" si="2"/>
        <v>-34.234234234234236</v>
      </c>
      <c r="F17" s="1">
        <f t="shared" si="2"/>
        <v>-8.4337349397590486</v>
      </c>
      <c r="G17">
        <f>(G15-G16)/G16*100</f>
        <v>1.4705882352941255</v>
      </c>
      <c r="H17">
        <f>(H15-H16)/H16*100</f>
        <v>-25.862068965517242</v>
      </c>
      <c r="I17">
        <f>(I15/I16)/I16*100</f>
        <v>16.436554898093362</v>
      </c>
      <c r="J17">
        <f>(J15-J16)/J16*100</f>
        <v>45.283018867924532</v>
      </c>
      <c r="K17">
        <f>(K15-K16)/K16*100</f>
        <v>-26.027397260273965</v>
      </c>
      <c r="L17">
        <f>(L15-L16)/L16*100</f>
        <v>51.020408163265309</v>
      </c>
      <c r="M17">
        <f>(M15-M16)/M16*100</f>
        <v>-7.7777777777777697</v>
      </c>
      <c r="N17">
        <f>(N15-N16)/N16*100</f>
        <v>-12.510425354462054</v>
      </c>
      <c r="O17">
        <v>15</v>
      </c>
    </row>
    <row r="19" spans="1:15" x14ac:dyDescent="0.4">
      <c r="A19" t="s">
        <v>48</v>
      </c>
    </row>
    <row r="22" spans="1:15" x14ac:dyDescent="0.4">
      <c r="A22" s="23" t="s">
        <v>53</v>
      </c>
    </row>
    <row r="34" spans="1:1" ht="23.15" x14ac:dyDescent="0.6">
      <c r="A34" s="25" t="s">
        <v>69</v>
      </c>
    </row>
    <row r="35" spans="1:1" ht="23.15" x14ac:dyDescent="0.6">
      <c r="A35" s="25" t="s">
        <v>70</v>
      </c>
    </row>
  </sheetData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Nitrogen Dioxide</vt:lpstr>
      <vt:lpstr>PM 10 mean</vt:lpstr>
      <vt:lpstr>PM 2.5 mean Old </vt:lpstr>
      <vt:lpstr>PM 2.5 mean new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2020-06-01T13:55:16Z</dcterms:created>
  <dcterms:modified xsi:type="dcterms:W3CDTF">2021-11-26T11:08:35Z</dcterms:modified>
  <cp:category/>
  <cp:contentStatus/>
</cp:coreProperties>
</file>